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2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840" yWindow="280" windowWidth="15820" windowHeight="23240" tabRatio="500"/>
  </bookViews>
  <sheets>
    <sheet name="Ship" sheetId="1" r:id="rId1"/>
    <sheet name="USP" sheetId="3" r:id="rId2"/>
    <sheet name="Tables" sheetId="2" r:id="rId3"/>
  </sheets>
  <definedNames>
    <definedName name="Agility">Ship!$B$18</definedName>
    <definedName name="Armour">Ship!$B$11</definedName>
    <definedName name="ArmourPlanetoid">Ship!$AT$9</definedName>
    <definedName name="Bridge">Ship!$G$24</definedName>
    <definedName name="Cargo">Ship!$G$31</definedName>
    <definedName name="Comp">Ship!$CN$1</definedName>
    <definedName name="CompCode">Ship!$CM$1</definedName>
    <definedName name="ComputerMod">Tables!$A$219:$A$221</definedName>
    <definedName name="Con">Ship!$F$9</definedName>
    <definedName name="Configurations">Tables!$B$90:$B$98</definedName>
    <definedName name="Crew">Ship!$H$73</definedName>
    <definedName name="DualOccup">Ship!$A$4</definedName>
    <definedName name="EPNoDrop">Ship!$BQ$14</definedName>
    <definedName name="EPWithDrop">Ship!$CB$14</definedName>
    <definedName name="Frozen">Ship!$H$77</definedName>
    <definedName name="Fuel">Ship!$G$21</definedName>
    <definedName name="Hardpoints">Ship!$J$8</definedName>
    <definedName name="High">Ship!$D$73</definedName>
    <definedName name="Hull">Ship!$G$8</definedName>
    <definedName name="Jump">Ship!$BA$14</definedName>
    <definedName name="JumpNoDrop">Ship!$BN$14</definedName>
    <definedName name="JumpWithDrop">Ship!$BY$14</definedName>
    <definedName name="LBB">Ship!$B$7</definedName>
    <definedName name="Low">Ship!$D$75</definedName>
    <definedName name="Man">Ship!$BB$14</definedName>
    <definedName name="ManNoDrop">Ship!$BO$14</definedName>
    <definedName name="ManWithDrop">Ship!$BZ$14</definedName>
    <definedName name="Marines">Ship!$K$78</definedName>
    <definedName name="Mid">Ship!$D$74</definedName>
    <definedName name="Military">Ship!$A$3</definedName>
    <definedName name="newline">Ship!$AL$1</definedName>
    <definedName name="PP">Ship!$BC$14</definedName>
    <definedName name="PPNnDrop">Ship!$BP$14</definedName>
    <definedName name="PPNoDrop">Ship!$BP$14</definedName>
    <definedName name="PPWithDrop">Ship!$CA$14</definedName>
    <definedName name="Role">USP!$A$18:$A$49</definedName>
    <definedName name="RoleQualifier">USP!$B$18:$B$50</definedName>
    <definedName name="Smallcraft">Tables!$A$324:$A$336</definedName>
    <definedName name="SmallcraftExp">Tables!$A$315,Tables!$A$325:$A$336</definedName>
    <definedName name="StandardDriveLimitedByTL">Ship!$A$7</definedName>
    <definedName name="TL">Ship!$A$2</definedName>
    <definedName name="Tonnage">Ship!$G$8</definedName>
    <definedName name="TotalTonnage">Ship!$B$14</definedName>
    <definedName name="USP">Ship!$C$2</definedName>
    <definedName name="_xlnm.Print_Area" localSheetId="0">Ship!$A$1:$L$96</definedName>
    <definedName name="ValidBays">Tables!$A$280:$A$292</definedName>
    <definedName name="ValidDrives">Tables!$A$155:$A$179</definedName>
    <definedName name="ValidSpinals">Tables!$A$240:$A$276</definedName>
    <definedName name="ValidStandard">Tables!$A$340:$A$341</definedName>
    <definedName name="ValidStandardHulls">Tables!$A$78:$A$84</definedName>
    <definedName name="ValidTurrets">Tables!$B$296:$B$304</definedName>
    <definedName name="Vehicles">Tables!$A$315:$A$320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O17" i="1"/>
  <c r="X53"/>
  <c r="X52"/>
  <c r="X49"/>
  <c r="X50"/>
  <c r="X48"/>
  <c r="AI46"/>
  <c r="E46"/>
  <c r="AM46"/>
  <c r="D46"/>
  <c r="V46"/>
  <c r="AI43"/>
  <c r="E43"/>
  <c r="AM43"/>
  <c r="D43"/>
  <c r="V43"/>
  <c r="AI44"/>
  <c r="E44"/>
  <c r="AM44"/>
  <c r="D44"/>
  <c r="V44"/>
  <c r="AI45"/>
  <c r="E45"/>
  <c r="AM45"/>
  <c r="D45"/>
  <c r="V45"/>
  <c r="AI42"/>
  <c r="E42"/>
  <c r="AM42"/>
  <c r="D42"/>
  <c r="V42"/>
  <c r="AN8"/>
  <c r="G8"/>
  <c r="C17"/>
  <c r="A7"/>
  <c r="L17"/>
  <c r="AR17"/>
  <c r="B14"/>
  <c r="AI17"/>
  <c r="AL17"/>
  <c r="AJ17"/>
  <c r="AS17"/>
  <c r="AT17"/>
  <c r="AU17"/>
  <c r="AV17"/>
  <c r="G17"/>
  <c r="BT17"/>
  <c r="D16"/>
  <c r="C16"/>
  <c r="L16"/>
  <c r="AL16"/>
  <c r="AJ16"/>
  <c r="AK16"/>
  <c r="AR16"/>
  <c r="AI16"/>
  <c r="AS16"/>
  <c r="AT16"/>
  <c r="AU16"/>
  <c r="AV16"/>
  <c r="BA16"/>
  <c r="F16"/>
  <c r="AM16"/>
  <c r="G16"/>
  <c r="BT16"/>
  <c r="BI17"/>
  <c r="BI16"/>
  <c r="D18"/>
  <c r="AZ16"/>
  <c r="AY16"/>
  <c r="AY14"/>
  <c r="D32"/>
  <c r="C32"/>
  <c r="AZ14"/>
  <c r="B13"/>
  <c r="G32"/>
  <c r="BA14"/>
  <c r="E25"/>
  <c r="C21"/>
  <c r="D21"/>
  <c r="AI18"/>
  <c r="AI19"/>
  <c r="B16"/>
  <c r="BJ16"/>
  <c r="BU16"/>
  <c r="AK25"/>
  <c r="BS46"/>
  <c r="BS51"/>
  <c r="AL25"/>
  <c r="D25"/>
  <c r="L25"/>
  <c r="L36"/>
  <c r="C36"/>
  <c r="C38"/>
  <c r="F38"/>
  <c r="C39"/>
  <c r="F39"/>
  <c r="C40"/>
  <c r="F40"/>
  <c r="AL42"/>
  <c r="L42"/>
  <c r="AP42"/>
  <c r="AQ42"/>
  <c r="AN42"/>
  <c r="AR42"/>
  <c r="AS42"/>
  <c r="AT42"/>
  <c r="AU42"/>
  <c r="AV42"/>
  <c r="AW42"/>
  <c r="AX42"/>
  <c r="AY42"/>
  <c r="AZ42"/>
  <c r="AO42"/>
  <c r="BA42"/>
  <c r="I42"/>
  <c r="AL43"/>
  <c r="L43"/>
  <c r="AP43"/>
  <c r="AQ43"/>
  <c r="AN43"/>
  <c r="AR43"/>
  <c r="AS43"/>
  <c r="AT43"/>
  <c r="AU43"/>
  <c r="AV43"/>
  <c r="AW43"/>
  <c r="AX43"/>
  <c r="AY43"/>
  <c r="AZ43"/>
  <c r="AO43"/>
  <c r="BA43"/>
  <c r="I43"/>
  <c r="AL44"/>
  <c r="L44"/>
  <c r="AP44"/>
  <c r="AQ44"/>
  <c r="AN44"/>
  <c r="AR44"/>
  <c r="AS44"/>
  <c r="AT44"/>
  <c r="AU44"/>
  <c r="AV44"/>
  <c r="AW44"/>
  <c r="AX44"/>
  <c r="AY44"/>
  <c r="AZ44"/>
  <c r="AO44"/>
  <c r="BA44"/>
  <c r="I44"/>
  <c r="AL45"/>
  <c r="L45"/>
  <c r="AP45"/>
  <c r="AQ45"/>
  <c r="AN45"/>
  <c r="AR45"/>
  <c r="AS45"/>
  <c r="AT45"/>
  <c r="AU45"/>
  <c r="AV45"/>
  <c r="AW45"/>
  <c r="AX45"/>
  <c r="AY45"/>
  <c r="AZ45"/>
  <c r="AO45"/>
  <c r="BA45"/>
  <c r="I45"/>
  <c r="AL46"/>
  <c r="L46"/>
  <c r="AP46"/>
  <c r="AQ46"/>
  <c r="AN46"/>
  <c r="AR46"/>
  <c r="AS46"/>
  <c r="AT46"/>
  <c r="AU46"/>
  <c r="AV46"/>
  <c r="AW46"/>
  <c r="AX46"/>
  <c r="AY46"/>
  <c r="AZ46"/>
  <c r="AO46"/>
  <c r="BA46"/>
  <c r="I46"/>
  <c r="AI48"/>
  <c r="AL48"/>
  <c r="L47"/>
  <c r="L48"/>
  <c r="AP48"/>
  <c r="AQ48"/>
  <c r="C48"/>
  <c r="AN48"/>
  <c r="AR48"/>
  <c r="AS48"/>
  <c r="AT48"/>
  <c r="AU48"/>
  <c r="AV48"/>
  <c r="AW48"/>
  <c r="AX48"/>
  <c r="AY48"/>
  <c r="AZ48"/>
  <c r="AO48"/>
  <c r="BA48"/>
  <c r="I48"/>
  <c r="AI49"/>
  <c r="AL49"/>
  <c r="L49"/>
  <c r="AP49"/>
  <c r="AQ49"/>
  <c r="C49"/>
  <c r="AN49"/>
  <c r="AR49"/>
  <c r="AS49"/>
  <c r="AT49"/>
  <c r="AU49"/>
  <c r="AV49"/>
  <c r="AW49"/>
  <c r="AX49"/>
  <c r="AY49"/>
  <c r="AZ49"/>
  <c r="AO49"/>
  <c r="BA49"/>
  <c r="I49"/>
  <c r="AI50"/>
  <c r="AL50"/>
  <c r="L50"/>
  <c r="AP50"/>
  <c r="AQ50"/>
  <c r="C50"/>
  <c r="AN50"/>
  <c r="AR50"/>
  <c r="AS50"/>
  <c r="AT50"/>
  <c r="AU50"/>
  <c r="AV50"/>
  <c r="AW50"/>
  <c r="AX50"/>
  <c r="AY50"/>
  <c r="AZ50"/>
  <c r="AO50"/>
  <c r="BA50"/>
  <c r="I50"/>
  <c r="AI52"/>
  <c r="AL52"/>
  <c r="L51"/>
  <c r="L52"/>
  <c r="AP52"/>
  <c r="AQ52"/>
  <c r="C52"/>
  <c r="AN52"/>
  <c r="AR52"/>
  <c r="AS52"/>
  <c r="AT52"/>
  <c r="AU52"/>
  <c r="AV52"/>
  <c r="AW52"/>
  <c r="AX52"/>
  <c r="AY52"/>
  <c r="AZ52"/>
  <c r="AO52"/>
  <c r="BA52"/>
  <c r="I52"/>
  <c r="AI53"/>
  <c r="AL53"/>
  <c r="L53"/>
  <c r="AP53"/>
  <c r="AQ53"/>
  <c r="C53"/>
  <c r="AN53"/>
  <c r="AR53"/>
  <c r="AS53"/>
  <c r="AT53"/>
  <c r="AU53"/>
  <c r="AV53"/>
  <c r="AW53"/>
  <c r="AX53"/>
  <c r="AY53"/>
  <c r="AZ53"/>
  <c r="AO53"/>
  <c r="BA53"/>
  <c r="I53"/>
  <c r="L56"/>
  <c r="AI56"/>
  <c r="D56"/>
  <c r="F56"/>
  <c r="AL56"/>
  <c r="I56"/>
  <c r="L57"/>
  <c r="AI57"/>
  <c r="D57"/>
  <c r="F57"/>
  <c r="AL57"/>
  <c r="I57"/>
  <c r="L19"/>
  <c r="AL19"/>
  <c r="AM19"/>
  <c r="AR19"/>
  <c r="B17"/>
  <c r="BU17"/>
  <c r="BJ17"/>
  <c r="K16"/>
  <c r="K17"/>
  <c r="K74"/>
  <c r="K73"/>
  <c r="BD46"/>
  <c r="BD52"/>
  <c r="F53"/>
  <c r="BD53"/>
  <c r="BE46"/>
  <c r="BE52"/>
  <c r="BE53"/>
  <c r="D9"/>
  <c r="AL9"/>
  <c r="AJ9"/>
  <c r="AK9"/>
  <c r="B9"/>
  <c r="AI9"/>
  <c r="AM9"/>
  <c r="F9"/>
  <c r="AT9"/>
  <c r="B11"/>
  <c r="BF46"/>
  <c r="BF52"/>
  <c r="BF53"/>
  <c r="BG46"/>
  <c r="BG52"/>
  <c r="BG53"/>
  <c r="BH46"/>
  <c r="BH52"/>
  <c r="BH53"/>
  <c r="BI46"/>
  <c r="BI52"/>
  <c r="BI53"/>
  <c r="F46"/>
  <c r="BJ46"/>
  <c r="F52"/>
  <c r="BJ52"/>
  <c r="BJ53"/>
  <c r="BI1"/>
  <c r="AQ2"/>
  <c r="AQ1"/>
  <c r="BI2"/>
  <c r="AV2"/>
  <c r="AV1"/>
  <c r="AH2"/>
  <c r="BK25"/>
  <c r="K24"/>
  <c r="AO8"/>
  <c r="BF16"/>
  <c r="BF17"/>
  <c r="A15"/>
  <c r="V15"/>
  <c r="G15"/>
  <c r="AL1"/>
  <c r="W15"/>
  <c r="X15"/>
  <c r="Y15"/>
  <c r="AA15"/>
  <c r="Z15"/>
  <c r="AC15"/>
  <c r="AB15"/>
  <c r="AE15"/>
  <c r="AD15"/>
  <c r="AG15"/>
  <c r="AF15"/>
  <c r="U15"/>
  <c r="AO9"/>
  <c r="B10"/>
  <c r="J47"/>
  <c r="J8"/>
  <c r="CO54"/>
  <c r="K47"/>
  <c r="AM48"/>
  <c r="AM49"/>
  <c r="AM50"/>
  <c r="B47"/>
  <c r="BT47"/>
  <c r="CO47"/>
  <c r="AJ49"/>
  <c r="AJ48"/>
  <c r="AJ50"/>
  <c r="G47"/>
  <c r="AQ9"/>
  <c r="AR9"/>
  <c r="AP9"/>
  <c r="G9"/>
  <c r="AS9"/>
  <c r="AP8"/>
  <c r="H9"/>
  <c r="D10"/>
  <c r="H10"/>
  <c r="L11"/>
  <c r="AI11"/>
  <c r="AJ11"/>
  <c r="G11"/>
  <c r="H11"/>
  <c r="H13"/>
  <c r="AW16"/>
  <c r="H16"/>
  <c r="AW17"/>
  <c r="H17"/>
  <c r="C22"/>
  <c r="C24"/>
  <c r="H24"/>
  <c r="K42"/>
  <c r="K43"/>
  <c r="K44"/>
  <c r="K45"/>
  <c r="K46"/>
  <c r="K51"/>
  <c r="K52"/>
  <c r="K53"/>
  <c r="K76"/>
  <c r="A4"/>
  <c r="A27"/>
  <c r="H32"/>
  <c r="CO42"/>
  <c r="AK42"/>
  <c r="H42"/>
  <c r="CO43"/>
  <c r="AK43"/>
  <c r="H43"/>
  <c r="CO44"/>
  <c r="AK44"/>
  <c r="H44"/>
  <c r="CO45"/>
  <c r="AK45"/>
  <c r="H45"/>
  <c r="CO46"/>
  <c r="AK46"/>
  <c r="H46"/>
  <c r="H47"/>
  <c r="CO51"/>
  <c r="H51"/>
  <c r="J38"/>
  <c r="J39"/>
  <c r="J40"/>
  <c r="J42"/>
  <c r="J43"/>
  <c r="J44"/>
  <c r="J45"/>
  <c r="J46"/>
  <c r="J51"/>
  <c r="AM54"/>
  <c r="V8"/>
  <c r="X10"/>
  <c r="Y10"/>
  <c r="AG10"/>
  <c r="AF10"/>
  <c r="V10"/>
  <c r="W10"/>
  <c r="AA10"/>
  <c r="Z10"/>
  <c r="AC10"/>
  <c r="AB10"/>
  <c r="AE10"/>
  <c r="AD10"/>
  <c r="U10"/>
  <c r="U11"/>
  <c r="X6"/>
  <c r="BD48"/>
  <c r="BE48"/>
  <c r="BF48"/>
  <c r="BG48"/>
  <c r="BH48"/>
  <c r="BI48"/>
  <c r="F48"/>
  <c r="BJ48"/>
  <c r="BD49"/>
  <c r="BE49"/>
  <c r="F49"/>
  <c r="BF49"/>
  <c r="BG49"/>
  <c r="BH49"/>
  <c r="BI49"/>
  <c r="BJ49"/>
  <c r="F50"/>
  <c r="BD50"/>
  <c r="BE50"/>
  <c r="BF50"/>
  <c r="BG50"/>
  <c r="BH50"/>
  <c r="BI50"/>
  <c r="BJ50"/>
  <c r="BB47"/>
  <c r="BE47"/>
  <c r="BF47"/>
  <c r="BG47"/>
  <c r="BH47"/>
  <c r="BI47"/>
  <c r="BJ47"/>
  <c r="BC47"/>
  <c r="BX47"/>
  <c r="D66"/>
  <c r="X66"/>
  <c r="H66"/>
  <c r="G66"/>
  <c r="AH65"/>
  <c r="AG65"/>
  <c r="AF65"/>
  <c r="AE65"/>
  <c r="AD65"/>
  <c r="AC65"/>
  <c r="AB65"/>
  <c r="AA65"/>
  <c r="Z65"/>
  <c r="X65"/>
  <c r="Y65"/>
  <c r="V65"/>
  <c r="W65"/>
  <c r="U65"/>
  <c r="S65"/>
  <c r="AH66"/>
  <c r="AG66"/>
  <c r="AF66"/>
  <c r="AE66"/>
  <c r="AD66"/>
  <c r="AC66"/>
  <c r="AB66"/>
  <c r="AA66"/>
  <c r="Z66"/>
  <c r="Y66"/>
  <c r="V66"/>
  <c r="W66"/>
  <c r="U66"/>
  <c r="S66"/>
  <c r="W16"/>
  <c r="X16"/>
  <c r="Y16"/>
  <c r="AA16"/>
  <c r="Z16"/>
  <c r="AC16"/>
  <c r="AB16"/>
  <c r="AE16"/>
  <c r="AD16"/>
  <c r="AG16"/>
  <c r="AF16"/>
  <c r="U16"/>
  <c r="C20"/>
  <c r="G20"/>
  <c r="X20"/>
  <c r="Y20"/>
  <c r="AC20"/>
  <c r="AB20"/>
  <c r="AE20"/>
  <c r="AD20"/>
  <c r="H20"/>
  <c r="AG20"/>
  <c r="AF20"/>
  <c r="U20"/>
  <c r="AJ24"/>
  <c r="AK24"/>
  <c r="G24"/>
  <c r="C33"/>
  <c r="G33"/>
  <c r="U33"/>
  <c r="V32"/>
  <c r="W32"/>
  <c r="X32"/>
  <c r="Y32"/>
  <c r="AA32"/>
  <c r="Z32"/>
  <c r="AC32"/>
  <c r="AB32"/>
  <c r="AE32"/>
  <c r="AD32"/>
  <c r="AG32"/>
  <c r="AF32"/>
  <c r="U32"/>
  <c r="BF9"/>
  <c r="BE9"/>
  <c r="BD9"/>
  <c r="BC9"/>
  <c r="BB9"/>
  <c r="BA9"/>
  <c r="AQ8"/>
  <c r="AK8"/>
  <c r="K38"/>
  <c r="K40"/>
  <c r="K56"/>
  <c r="K57"/>
  <c r="L58"/>
  <c r="AI58"/>
  <c r="D58"/>
  <c r="F58"/>
  <c r="K58"/>
  <c r="BD42"/>
  <c r="BD43"/>
  <c r="BD44"/>
  <c r="F45"/>
  <c r="BD45"/>
  <c r="BE42"/>
  <c r="BE43"/>
  <c r="BE44"/>
  <c r="BE45"/>
  <c r="BF42"/>
  <c r="F43"/>
  <c r="BF43"/>
  <c r="BF44"/>
  <c r="BF45"/>
  <c r="BG42"/>
  <c r="BG43"/>
  <c r="F44"/>
  <c r="BG44"/>
  <c r="BG45"/>
  <c r="BH42"/>
  <c r="BH43"/>
  <c r="BH44"/>
  <c r="BH45"/>
  <c r="BI42"/>
  <c r="BI43"/>
  <c r="BI44"/>
  <c r="BI45"/>
  <c r="F42"/>
  <c r="BJ42"/>
  <c r="BJ43"/>
  <c r="BJ44"/>
  <c r="BJ45"/>
  <c r="L22"/>
  <c r="AI22"/>
  <c r="AJ22"/>
  <c r="AK22"/>
  <c r="AL22"/>
  <c r="K78"/>
  <c r="H33"/>
  <c r="AK48"/>
  <c r="H48"/>
  <c r="AK49"/>
  <c r="H49"/>
  <c r="AK50"/>
  <c r="H50"/>
  <c r="AK52"/>
  <c r="H52"/>
  <c r="AK53"/>
  <c r="H53"/>
  <c r="AK56"/>
  <c r="H56"/>
  <c r="AK57"/>
  <c r="H57"/>
  <c r="AK58"/>
  <c r="H58"/>
  <c r="AC83"/>
  <c r="AB83"/>
  <c r="AB82"/>
  <c r="Z82"/>
  <c r="Y82"/>
  <c r="X82"/>
  <c r="W82"/>
  <c r="V82"/>
  <c r="V81"/>
  <c r="W81"/>
  <c r="AA75"/>
  <c r="Z75"/>
  <c r="X81"/>
  <c r="X85"/>
  <c r="V85"/>
  <c r="W85"/>
  <c r="V96"/>
  <c r="W96"/>
  <c r="V95"/>
  <c r="W95"/>
  <c r="Y96"/>
  <c r="X96"/>
  <c r="Y95"/>
  <c r="X95"/>
  <c r="H86"/>
  <c r="H87"/>
  <c r="H88"/>
  <c r="AJ42"/>
  <c r="G42"/>
  <c r="AJ43"/>
  <c r="G43"/>
  <c r="AJ44"/>
  <c r="G44"/>
  <c r="AJ45"/>
  <c r="G45"/>
  <c r="AJ56"/>
  <c r="G56"/>
  <c r="AJ57"/>
  <c r="G57"/>
  <c r="AJ58"/>
  <c r="G58"/>
  <c r="G46"/>
  <c r="D91"/>
  <c r="AL91"/>
  <c r="AM91"/>
  <c r="AO86"/>
  <c r="AP86"/>
  <c r="AO87"/>
  <c r="AP87"/>
  <c r="AO88"/>
  <c r="AP88"/>
  <c r="AA86"/>
  <c r="AB86"/>
  <c r="AA87"/>
  <c r="AB87"/>
  <c r="AA88"/>
  <c r="AB88"/>
  <c r="AA89"/>
  <c r="AB89"/>
  <c r="AA90"/>
  <c r="AB90"/>
  <c r="AD90"/>
  <c r="AC90"/>
  <c r="AA91"/>
  <c r="AB91"/>
  <c r="AD91"/>
  <c r="AC91"/>
  <c r="AA92"/>
  <c r="AB92"/>
  <c r="AD92"/>
  <c r="AC92"/>
  <c r="AA93"/>
  <c r="AB93"/>
  <c r="AA85"/>
  <c r="AB85"/>
  <c r="AD85"/>
  <c r="AC85"/>
  <c r="V86"/>
  <c r="W86"/>
  <c r="V87"/>
  <c r="W87"/>
  <c r="V88"/>
  <c r="W88"/>
  <c r="V89"/>
  <c r="W89"/>
  <c r="V90"/>
  <c r="W90"/>
  <c r="V91"/>
  <c r="W91"/>
  <c r="V92"/>
  <c r="W92"/>
  <c r="V93"/>
  <c r="W93"/>
  <c r="Z86"/>
  <c r="Z87"/>
  <c r="Z88"/>
  <c r="Z89"/>
  <c r="Z90"/>
  <c r="Z91"/>
  <c r="Z92"/>
  <c r="Z93"/>
  <c r="Z85"/>
  <c r="Y78"/>
  <c r="AE74"/>
  <c r="AD74"/>
  <c r="AE75"/>
  <c r="AD75"/>
  <c r="AE76"/>
  <c r="AD76"/>
  <c r="AE77"/>
  <c r="AD77"/>
  <c r="AE78"/>
  <c r="AD78"/>
  <c r="AE73"/>
  <c r="AD73"/>
  <c r="AB75"/>
  <c r="AB76"/>
  <c r="AB78"/>
  <c r="AB73"/>
  <c r="AA74"/>
  <c r="Z74"/>
  <c r="AA76"/>
  <c r="Z76"/>
  <c r="AA77"/>
  <c r="Z77"/>
  <c r="AA78"/>
  <c r="Z78"/>
  <c r="AA73"/>
  <c r="Z73"/>
  <c r="Y74"/>
  <c r="X74"/>
  <c r="Y75"/>
  <c r="X75"/>
  <c r="X76"/>
  <c r="X77"/>
  <c r="X78"/>
  <c r="Y73"/>
  <c r="X73"/>
  <c r="V74"/>
  <c r="W74"/>
  <c r="V75"/>
  <c r="W75"/>
  <c r="V76"/>
  <c r="W76"/>
  <c r="V77"/>
  <c r="W77"/>
  <c r="V78"/>
  <c r="W78"/>
  <c r="V73"/>
  <c r="W73"/>
  <c r="AG74"/>
  <c r="AF74"/>
  <c r="AG76"/>
  <c r="AF76"/>
  <c r="AG78"/>
  <c r="AF78"/>
  <c r="AG73"/>
  <c r="AF73"/>
  <c r="U55"/>
  <c r="V64"/>
  <c r="W64"/>
  <c r="V63"/>
  <c r="W63"/>
  <c r="V61"/>
  <c r="V60"/>
  <c r="U58"/>
  <c r="U57"/>
  <c r="U56"/>
  <c r="V54"/>
  <c r="W54"/>
  <c r="X54"/>
  <c r="Y54"/>
  <c r="AA54"/>
  <c r="Z54"/>
  <c r="AM52"/>
  <c r="AM53"/>
  <c r="B51"/>
  <c r="X51"/>
  <c r="X47"/>
  <c r="Y51"/>
  <c r="AC51"/>
  <c r="AB51"/>
  <c r="U51"/>
  <c r="AA52"/>
  <c r="Z52"/>
  <c r="AC52"/>
  <c r="AB52"/>
  <c r="AG52"/>
  <c r="AF52"/>
  <c r="U52"/>
  <c r="AA53"/>
  <c r="Z53"/>
  <c r="AC53"/>
  <c r="AB53"/>
  <c r="AG53"/>
  <c r="AF53"/>
  <c r="U53"/>
  <c r="AA48"/>
  <c r="Z48"/>
  <c r="AC48"/>
  <c r="AB48"/>
  <c r="AG48"/>
  <c r="AF48"/>
  <c r="U48"/>
  <c r="AA49"/>
  <c r="Z49"/>
  <c r="AC49"/>
  <c r="AB49"/>
  <c r="AG49"/>
  <c r="AF49"/>
  <c r="Y49"/>
  <c r="U49"/>
  <c r="AA50"/>
  <c r="Z50"/>
  <c r="AC50"/>
  <c r="AB50"/>
  <c r="AG50"/>
  <c r="AF50"/>
  <c r="U50"/>
  <c r="Y47"/>
  <c r="AC47"/>
  <c r="AB47"/>
  <c r="AE47"/>
  <c r="AD47"/>
  <c r="AG47"/>
  <c r="AF47"/>
  <c r="U47"/>
  <c r="W53"/>
  <c r="W52"/>
  <c r="X46"/>
  <c r="AE46"/>
  <c r="X43"/>
  <c r="X44"/>
  <c r="X45"/>
  <c r="X42"/>
  <c r="U41"/>
  <c r="W46"/>
  <c r="AA46"/>
  <c r="Z46"/>
  <c r="AC46"/>
  <c r="AB46"/>
  <c r="AD46"/>
  <c r="AG46"/>
  <c r="AF46"/>
  <c r="Y46"/>
  <c r="U46"/>
  <c r="W45"/>
  <c r="AA45"/>
  <c r="Z45"/>
  <c r="AC45"/>
  <c r="AB45"/>
  <c r="AE45"/>
  <c r="AD45"/>
  <c r="AG45"/>
  <c r="AF45"/>
  <c r="Y45"/>
  <c r="U45"/>
  <c r="Y44"/>
  <c r="AA44"/>
  <c r="Z44"/>
  <c r="AE44"/>
  <c r="AD44"/>
  <c r="AG44"/>
  <c r="AF44"/>
  <c r="U44"/>
  <c r="W43"/>
  <c r="AA43"/>
  <c r="Z43"/>
  <c r="AC43"/>
  <c r="AB43"/>
  <c r="AE43"/>
  <c r="AD43"/>
  <c r="AG43"/>
  <c r="AF43"/>
  <c r="Y43"/>
  <c r="U43"/>
  <c r="W42"/>
  <c r="AA42"/>
  <c r="Z42"/>
  <c r="AC42"/>
  <c r="AB42"/>
  <c r="AE42"/>
  <c r="AD42"/>
  <c r="AG42"/>
  <c r="AF42"/>
  <c r="Y42"/>
  <c r="U42"/>
  <c r="U37"/>
  <c r="U35"/>
  <c r="X41"/>
  <c r="X37"/>
  <c r="X35"/>
  <c r="L38"/>
  <c r="AG9"/>
  <c r="AG11"/>
  <c r="AG12"/>
  <c r="AG13"/>
  <c r="AG14"/>
  <c r="AG17"/>
  <c r="AG18"/>
  <c r="AG21"/>
  <c r="AG23"/>
  <c r="AG24"/>
  <c r="AG26"/>
  <c r="AG30"/>
  <c r="AG31"/>
  <c r="AG33"/>
  <c r="AG34"/>
  <c r="AG35"/>
  <c r="AG37"/>
  <c r="AG41"/>
  <c r="AG51"/>
  <c r="AG55"/>
  <c r="AG56"/>
  <c r="AG57"/>
  <c r="AG58"/>
  <c r="AG59"/>
  <c r="AG67"/>
  <c r="AG69"/>
  <c r="AG70"/>
  <c r="AG71"/>
  <c r="AG72"/>
  <c r="AG79"/>
  <c r="AG80"/>
  <c r="AG81"/>
  <c r="AG84"/>
  <c r="AG94"/>
  <c r="AG95"/>
  <c r="AG96"/>
  <c r="AG8"/>
  <c r="AE9"/>
  <c r="AE11"/>
  <c r="AE12"/>
  <c r="AE13"/>
  <c r="AE14"/>
  <c r="AE17"/>
  <c r="AE18"/>
  <c r="AE23"/>
  <c r="AE24"/>
  <c r="AE26"/>
  <c r="AE30"/>
  <c r="AE33"/>
  <c r="AE34"/>
  <c r="AE35"/>
  <c r="AE37"/>
  <c r="AE41"/>
  <c r="AE48"/>
  <c r="AE49"/>
  <c r="AE50"/>
  <c r="AE51"/>
  <c r="AE52"/>
  <c r="AE53"/>
  <c r="AE55"/>
  <c r="AE56"/>
  <c r="AE57"/>
  <c r="AE58"/>
  <c r="AE59"/>
  <c r="AE67"/>
  <c r="AE69"/>
  <c r="AE70"/>
  <c r="AE71"/>
  <c r="AE72"/>
  <c r="AE79"/>
  <c r="AE80"/>
  <c r="AE81"/>
  <c r="AE84"/>
  <c r="AE94"/>
  <c r="AE8"/>
  <c r="X33"/>
  <c r="X21"/>
  <c r="U18"/>
  <c r="X14"/>
  <c r="Y14"/>
  <c r="V14"/>
  <c r="W14"/>
  <c r="AA14"/>
  <c r="Z14"/>
  <c r="AC14"/>
  <c r="AB14"/>
  <c r="AD14"/>
  <c r="AF14"/>
  <c r="U14"/>
  <c r="X13"/>
  <c r="Y13"/>
  <c r="AF13"/>
  <c r="V13"/>
  <c r="W13"/>
  <c r="AA13"/>
  <c r="Z13"/>
  <c r="AC13"/>
  <c r="AB13"/>
  <c r="AD13"/>
  <c r="U13"/>
  <c r="V6"/>
  <c r="AC17"/>
  <c r="X11"/>
  <c r="X12"/>
  <c r="X17"/>
  <c r="X22"/>
  <c r="X23"/>
  <c r="X24"/>
  <c r="X26"/>
  <c r="X27"/>
  <c r="X28"/>
  <c r="X29"/>
  <c r="X30"/>
  <c r="X31"/>
  <c r="X34"/>
  <c r="X55"/>
  <c r="X56"/>
  <c r="X57"/>
  <c r="X58"/>
  <c r="X67"/>
  <c r="X71"/>
  <c r="X72"/>
  <c r="X79"/>
  <c r="X80"/>
  <c r="X84"/>
  <c r="AN9"/>
  <c r="X9"/>
  <c r="X8"/>
  <c r="AB6"/>
  <c r="AA7"/>
  <c r="Z7"/>
  <c r="AA9"/>
  <c r="Z9"/>
  <c r="AA12"/>
  <c r="Z12"/>
  <c r="AA18"/>
  <c r="Z18"/>
  <c r="AA20"/>
  <c r="Z20"/>
  <c r="AA21"/>
  <c r="Z21"/>
  <c r="AA22"/>
  <c r="Z22"/>
  <c r="AA23"/>
  <c r="Z23"/>
  <c r="AA24"/>
  <c r="Z24"/>
  <c r="AA26"/>
  <c r="Z26"/>
  <c r="AA27"/>
  <c r="Z27"/>
  <c r="AA28"/>
  <c r="Z28"/>
  <c r="AA29"/>
  <c r="Z29"/>
  <c r="AA30"/>
  <c r="Z30"/>
  <c r="AA31"/>
  <c r="Z31"/>
  <c r="AA33"/>
  <c r="Z33"/>
  <c r="AA34"/>
  <c r="Z34"/>
  <c r="AA35"/>
  <c r="Z35"/>
  <c r="AA37"/>
  <c r="Z37"/>
  <c r="AA38"/>
  <c r="Z38"/>
  <c r="AA40"/>
  <c r="Z40"/>
  <c r="AA41"/>
  <c r="Z41"/>
  <c r="AA47"/>
  <c r="Z47"/>
  <c r="AA51"/>
  <c r="Z51"/>
  <c r="AA55"/>
  <c r="Z55"/>
  <c r="AA56"/>
  <c r="Z56"/>
  <c r="AA57"/>
  <c r="Z57"/>
  <c r="AA58"/>
  <c r="Z58"/>
  <c r="AA59"/>
  <c r="Z59"/>
  <c r="AA60"/>
  <c r="Z60"/>
  <c r="AA61"/>
  <c r="Z61"/>
  <c r="AA62"/>
  <c r="Z62"/>
  <c r="AA63"/>
  <c r="Z63"/>
  <c r="AA64"/>
  <c r="Z64"/>
  <c r="AA67"/>
  <c r="Z67"/>
  <c r="Z68"/>
  <c r="Z69"/>
  <c r="AA70"/>
  <c r="Z70"/>
  <c r="AA71"/>
  <c r="Z71"/>
  <c r="AA72"/>
  <c r="Z72"/>
  <c r="AA79"/>
  <c r="Z79"/>
  <c r="AA80"/>
  <c r="Z80"/>
  <c r="AA81"/>
  <c r="Z81"/>
  <c r="AA84"/>
  <c r="Z84"/>
  <c r="AA94"/>
  <c r="Z94"/>
  <c r="Z6"/>
  <c r="V9"/>
  <c r="W9"/>
  <c r="Y9"/>
  <c r="V11"/>
  <c r="W11"/>
  <c r="Y11"/>
  <c r="V12"/>
  <c r="W12"/>
  <c r="Y12"/>
  <c r="W17"/>
  <c r="Y17"/>
  <c r="W18"/>
  <c r="W19"/>
  <c r="V20"/>
  <c r="W20"/>
  <c r="V21"/>
  <c r="W21"/>
  <c r="Y21"/>
  <c r="V22"/>
  <c r="W22"/>
  <c r="Y22"/>
  <c r="V23"/>
  <c r="W23"/>
  <c r="Y23"/>
  <c r="V24"/>
  <c r="W24"/>
  <c r="Y24"/>
  <c r="V26"/>
  <c r="W26"/>
  <c r="Y26"/>
  <c r="V27"/>
  <c r="W27"/>
  <c r="Y27"/>
  <c r="A28"/>
  <c r="V28"/>
  <c r="W28"/>
  <c r="Y28"/>
  <c r="V29"/>
  <c r="W29"/>
  <c r="Y29"/>
  <c r="V30"/>
  <c r="W30"/>
  <c r="Y30"/>
  <c r="V31"/>
  <c r="W31"/>
  <c r="Y31"/>
  <c r="V33"/>
  <c r="W33"/>
  <c r="Y33"/>
  <c r="V34"/>
  <c r="W34"/>
  <c r="Y34"/>
  <c r="W35"/>
  <c r="Y35"/>
  <c r="W36"/>
  <c r="V37"/>
  <c r="W37"/>
  <c r="Y37"/>
  <c r="W38"/>
  <c r="W39"/>
  <c r="W40"/>
  <c r="V41"/>
  <c r="W41"/>
  <c r="Y41"/>
  <c r="W44"/>
  <c r="A47"/>
  <c r="W47"/>
  <c r="W48"/>
  <c r="Y48"/>
  <c r="W49"/>
  <c r="W50"/>
  <c r="Y50"/>
  <c r="W51"/>
  <c r="Y52"/>
  <c r="Y53"/>
  <c r="V55"/>
  <c r="W55"/>
  <c r="Y55"/>
  <c r="V56"/>
  <c r="W56"/>
  <c r="Y56"/>
  <c r="V57"/>
  <c r="W57"/>
  <c r="Y57"/>
  <c r="V58"/>
  <c r="W58"/>
  <c r="Y58"/>
  <c r="V59"/>
  <c r="W59"/>
  <c r="Y59"/>
  <c r="W60"/>
  <c r="W61"/>
  <c r="V62"/>
  <c r="W62"/>
  <c r="V67"/>
  <c r="W67"/>
  <c r="Y67"/>
  <c r="V68"/>
  <c r="W68"/>
  <c r="V69"/>
  <c r="W69"/>
  <c r="V70"/>
  <c r="W70"/>
  <c r="V71"/>
  <c r="W71"/>
  <c r="Y71"/>
  <c r="V72"/>
  <c r="W72"/>
  <c r="Y72"/>
  <c r="V79"/>
  <c r="W79"/>
  <c r="Y79"/>
  <c r="V80"/>
  <c r="W80"/>
  <c r="Y80"/>
  <c r="Y81"/>
  <c r="V84"/>
  <c r="W84"/>
  <c r="Y84"/>
  <c r="V94"/>
  <c r="W94"/>
  <c r="Y7"/>
  <c r="Y8"/>
  <c r="Y6"/>
  <c r="V7"/>
  <c r="W7"/>
  <c r="W8"/>
  <c r="AC9"/>
  <c r="AC11"/>
  <c r="AC12"/>
  <c r="AC18"/>
  <c r="AC21"/>
  <c r="AC22"/>
  <c r="AC23"/>
  <c r="AC24"/>
  <c r="AC25"/>
  <c r="AC26"/>
  <c r="AC30"/>
  <c r="AC31"/>
  <c r="AC33"/>
  <c r="AC34"/>
  <c r="AC35"/>
  <c r="AC36"/>
  <c r="AC37"/>
  <c r="AC38"/>
  <c r="AC39"/>
  <c r="AC40"/>
  <c r="AC41"/>
  <c r="AC44"/>
  <c r="AC55"/>
  <c r="AC56"/>
  <c r="AC57"/>
  <c r="AC58"/>
  <c r="AC67"/>
  <c r="AC70"/>
  <c r="AC71"/>
  <c r="AC72"/>
  <c r="AC79"/>
  <c r="AC80"/>
  <c r="AC81"/>
  <c r="AC84"/>
  <c r="AC94"/>
  <c r="AC8"/>
  <c r="AB8"/>
  <c r="AB9"/>
  <c r="AB11"/>
  <c r="AB12"/>
  <c r="AB17"/>
  <c r="AB18"/>
  <c r="AB21"/>
  <c r="AB22"/>
  <c r="AB23"/>
  <c r="AB24"/>
  <c r="AB25"/>
  <c r="AB26"/>
  <c r="AB30"/>
  <c r="AB31"/>
  <c r="AB33"/>
  <c r="AB34"/>
  <c r="AB35"/>
  <c r="AB36"/>
  <c r="AB37"/>
  <c r="AB38"/>
  <c r="AB39"/>
  <c r="AB40"/>
  <c r="AB41"/>
  <c r="AB44"/>
  <c r="AB55"/>
  <c r="AB56"/>
  <c r="AB57"/>
  <c r="AB58"/>
  <c r="AB59"/>
  <c r="AB67"/>
  <c r="AB68"/>
  <c r="AB69"/>
  <c r="AB70"/>
  <c r="AB71"/>
  <c r="AB72"/>
  <c r="AB79"/>
  <c r="AB80"/>
  <c r="AB81"/>
  <c r="AB84"/>
  <c r="AB94"/>
  <c r="AC7"/>
  <c r="AB7"/>
  <c r="AD7"/>
  <c r="AF7"/>
  <c r="AD8"/>
  <c r="AF8"/>
  <c r="AD9"/>
  <c r="AF9"/>
  <c r="AD11"/>
  <c r="AF11"/>
  <c r="AD12"/>
  <c r="AF12"/>
  <c r="AD17"/>
  <c r="AF17"/>
  <c r="AD18"/>
  <c r="AF18"/>
  <c r="AF21"/>
  <c r="AD23"/>
  <c r="AF23"/>
  <c r="AD24"/>
  <c r="AF24"/>
  <c r="AD26"/>
  <c r="AF26"/>
  <c r="AD30"/>
  <c r="AF30"/>
  <c r="AF31"/>
  <c r="AD33"/>
  <c r="AF33"/>
  <c r="AD34"/>
  <c r="AF34"/>
  <c r="AD35"/>
  <c r="AF35"/>
  <c r="AD37"/>
  <c r="AF37"/>
  <c r="AD41"/>
  <c r="AF41"/>
  <c r="AD48"/>
  <c r="AD49"/>
  <c r="AD50"/>
  <c r="AD51"/>
  <c r="AF51"/>
  <c r="AD52"/>
  <c r="AD53"/>
  <c r="AD55"/>
  <c r="AF55"/>
  <c r="AD56"/>
  <c r="AF56"/>
  <c r="AD57"/>
  <c r="AF57"/>
  <c r="AD58"/>
  <c r="AF58"/>
  <c r="AD59"/>
  <c r="AF59"/>
  <c r="AD67"/>
  <c r="AF67"/>
  <c r="AD69"/>
  <c r="AF69"/>
  <c r="AD70"/>
  <c r="AF70"/>
  <c r="AD71"/>
  <c r="AF71"/>
  <c r="AD72"/>
  <c r="AF72"/>
  <c r="AD79"/>
  <c r="AF79"/>
  <c r="AD80"/>
  <c r="AF80"/>
  <c r="AD81"/>
  <c r="AF81"/>
  <c r="AD84"/>
  <c r="AF84"/>
  <c r="AD94"/>
  <c r="AF94"/>
  <c r="AF95"/>
  <c r="AF96"/>
  <c r="W6"/>
  <c r="U100"/>
  <c r="U7"/>
  <c r="U9"/>
  <c r="U12"/>
  <c r="U23"/>
  <c r="U24"/>
  <c r="U26"/>
  <c r="U30"/>
  <c r="U34"/>
  <c r="U67"/>
  <c r="U71"/>
  <c r="U72"/>
  <c r="U76"/>
  <c r="U79"/>
  <c r="U80"/>
  <c r="U81"/>
  <c r="U82"/>
  <c r="U84"/>
  <c r="U85"/>
  <c r="S74"/>
  <c r="S76"/>
  <c r="AH72"/>
  <c r="AH79"/>
  <c r="AH73"/>
  <c r="AH74"/>
  <c r="AH75"/>
  <c r="AH76"/>
  <c r="AH77"/>
  <c r="AH78"/>
  <c r="AH80"/>
  <c r="AH81"/>
  <c r="AH82"/>
  <c r="S80"/>
  <c r="CF42"/>
  <c r="CF43"/>
  <c r="CF44"/>
  <c r="CF46"/>
  <c r="CF48"/>
  <c r="CF49"/>
  <c r="CF52"/>
  <c r="CG42"/>
  <c r="CG43"/>
  <c r="CG44"/>
  <c r="CG45"/>
  <c r="CG46"/>
  <c r="CG48"/>
  <c r="CG49"/>
  <c r="CG50"/>
  <c r="CG52"/>
  <c r="CG53"/>
  <c r="CH42"/>
  <c r="CH44"/>
  <c r="CH45"/>
  <c r="CH46"/>
  <c r="CH48"/>
  <c r="CH50"/>
  <c r="CH52"/>
  <c r="CH53"/>
  <c r="CI42"/>
  <c r="CI43"/>
  <c r="CI45"/>
  <c r="CI46"/>
  <c r="CI48"/>
  <c r="CI49"/>
  <c r="CI50"/>
  <c r="CI52"/>
  <c r="CI53"/>
  <c r="CJ42"/>
  <c r="CJ43"/>
  <c r="CJ44"/>
  <c r="CJ45"/>
  <c r="CJ46"/>
  <c r="CJ48"/>
  <c r="CJ49"/>
  <c r="CJ50"/>
  <c r="CJ52"/>
  <c r="CJ53"/>
  <c r="CK42"/>
  <c r="CK43"/>
  <c r="CK44"/>
  <c r="CK45"/>
  <c r="CK46"/>
  <c r="CK48"/>
  <c r="CK49"/>
  <c r="CK50"/>
  <c r="CK52"/>
  <c r="CK53"/>
  <c r="CL43"/>
  <c r="CL44"/>
  <c r="CL45"/>
  <c r="CL49"/>
  <c r="CL50"/>
  <c r="CL53"/>
  <c r="L39"/>
  <c r="L40"/>
  <c r="L7"/>
  <c r="CF18"/>
  <c r="AH43"/>
  <c r="S43"/>
  <c r="AZ9"/>
  <c r="AY9"/>
  <c r="AX9"/>
  <c r="AH32"/>
  <c r="S51"/>
  <c r="S47"/>
  <c r="S46"/>
  <c r="S7"/>
  <c r="AJ46"/>
  <c r="S81"/>
  <c r="AH11"/>
  <c r="S12"/>
  <c r="AH12"/>
  <c r="S13"/>
  <c r="AH13"/>
  <c r="S53"/>
  <c r="S52"/>
  <c r="S49"/>
  <c r="S50"/>
  <c r="S48"/>
  <c r="S44"/>
  <c r="S45"/>
  <c r="S42"/>
  <c r="AH8"/>
  <c r="AH7"/>
  <c r="AH6"/>
  <c r="AH5"/>
  <c r="AH4"/>
  <c r="AH3"/>
  <c r="AH1"/>
  <c r="AN3"/>
  <c r="AM3"/>
  <c r="AN4"/>
  <c r="AM4"/>
  <c r="C100"/>
  <c r="AH100"/>
  <c r="AH41"/>
  <c r="AH42"/>
  <c r="AH44"/>
  <c r="AH45"/>
  <c r="AH46"/>
  <c r="AH47"/>
  <c r="AH48"/>
  <c r="AH49"/>
  <c r="AH50"/>
  <c r="AH51"/>
  <c r="AH52"/>
  <c r="AH53"/>
  <c r="AH54"/>
  <c r="AH55"/>
  <c r="AH56"/>
  <c r="AH57"/>
  <c r="AH58"/>
  <c r="AH59"/>
  <c r="AH60"/>
  <c r="S10"/>
  <c r="S14"/>
  <c r="S20"/>
  <c r="S23"/>
  <c r="S24"/>
  <c r="S26"/>
  <c r="S30"/>
  <c r="S33"/>
  <c r="S34"/>
  <c r="S35"/>
  <c r="E36"/>
  <c r="S37"/>
  <c r="S41"/>
  <c r="S55"/>
  <c r="S56"/>
  <c r="S57"/>
  <c r="S58"/>
  <c r="S59"/>
  <c r="S67"/>
  <c r="S71"/>
  <c r="S82"/>
  <c r="S84"/>
  <c r="S85"/>
  <c r="S91"/>
  <c r="S92"/>
  <c r="S94"/>
  <c r="S97"/>
  <c r="AH97"/>
  <c r="AH96"/>
  <c r="AH95"/>
  <c r="AH94"/>
  <c r="AH93"/>
  <c r="AH92"/>
  <c r="AH91"/>
  <c r="AH90"/>
  <c r="AH89"/>
  <c r="AH88"/>
  <c r="AH87"/>
  <c r="AH86"/>
  <c r="AH85"/>
  <c r="AH84"/>
  <c r="AH83"/>
  <c r="AH71"/>
  <c r="AH70"/>
  <c r="AH69"/>
  <c r="AH68"/>
  <c r="AH67"/>
  <c r="AH64"/>
  <c r="AH63"/>
  <c r="AH62"/>
  <c r="AH61"/>
  <c r="AH40"/>
  <c r="AH39"/>
  <c r="AH38"/>
  <c r="AH37"/>
  <c r="AH36"/>
  <c r="AH35"/>
  <c r="AH34"/>
  <c r="AH33"/>
  <c r="AH31"/>
  <c r="AH30"/>
  <c r="AH29"/>
  <c r="AH28"/>
  <c r="AH27"/>
  <c r="AH26"/>
  <c r="AH25"/>
  <c r="AH24"/>
  <c r="AH23"/>
  <c r="AH22"/>
  <c r="AH21"/>
  <c r="AH20"/>
  <c r="AH19"/>
  <c r="AH18"/>
  <c r="AH17"/>
  <c r="AH16"/>
  <c r="AH15"/>
  <c r="AH14"/>
  <c r="AH10"/>
  <c r="AH9"/>
  <c r="AL24"/>
  <c r="AJ52"/>
  <c r="AJ53"/>
  <c r="AJ8"/>
  <c r="K20"/>
  <c r="S9"/>
  <c r="S16"/>
  <c r="S32"/>
  <c r="S78"/>
  <c r="AD96"/>
  <c r="AD95"/>
  <c r="U78"/>
  <c r="U73"/>
  <c r="X92"/>
  <c r="U92"/>
  <c r="X94"/>
  <c r="U94"/>
  <c r="S15"/>
  <c r="AA39"/>
  <c r="Z39"/>
  <c r="K39"/>
  <c r="AP1"/>
  <c r="AP2"/>
  <c r="C1"/>
  <c r="B1"/>
  <c r="S1"/>
  <c r="U1"/>
  <c r="T1"/>
  <c r="BM25"/>
  <c r="AJ25"/>
  <c r="AI25"/>
  <c r="AM25"/>
  <c r="AN25"/>
  <c r="AR25"/>
  <c r="CN25"/>
  <c r="CN1"/>
  <c r="AV25"/>
  <c r="A25"/>
  <c r="I25"/>
  <c r="AN36"/>
  <c r="AK36"/>
  <c r="I36"/>
  <c r="AM38"/>
  <c r="I38"/>
  <c r="AM39"/>
  <c r="I39"/>
  <c r="AM40"/>
  <c r="I40"/>
  <c r="AX17"/>
  <c r="AK17"/>
  <c r="BB17"/>
  <c r="BB14"/>
  <c r="I18"/>
  <c r="D19"/>
  <c r="C19"/>
  <c r="AC19"/>
  <c r="AB19"/>
  <c r="B19"/>
  <c r="X19"/>
  <c r="Y19"/>
  <c r="AJ19"/>
  <c r="AK19"/>
  <c r="G19"/>
  <c r="AP19"/>
  <c r="BU19"/>
  <c r="BW16"/>
  <c r="BY16"/>
  <c r="BW19"/>
  <c r="CA19"/>
  <c r="CA14"/>
  <c r="BY14"/>
  <c r="AW2"/>
  <c r="BW17"/>
  <c r="BZ17"/>
  <c r="BZ14"/>
  <c r="AX2"/>
  <c r="AY2"/>
  <c r="CM1"/>
  <c r="AZ2"/>
  <c r="AL36"/>
  <c r="AL61"/>
  <c r="D61"/>
  <c r="C61"/>
  <c r="K61"/>
  <c r="AL62"/>
  <c r="D62"/>
  <c r="C62"/>
  <c r="K62"/>
  <c r="AL63"/>
  <c r="D63"/>
  <c r="C63"/>
  <c r="AL64"/>
  <c r="D64"/>
  <c r="C64"/>
  <c r="K63"/>
  <c r="K64"/>
  <c r="G36"/>
  <c r="K36"/>
  <c r="AI75"/>
  <c r="AI36"/>
  <c r="B36"/>
  <c r="BD36"/>
  <c r="AJ38"/>
  <c r="B38"/>
  <c r="BD38"/>
  <c r="AJ39"/>
  <c r="B39"/>
  <c r="BD39"/>
  <c r="AJ40"/>
  <c r="B40"/>
  <c r="BD40"/>
  <c r="BD25"/>
  <c r="BE36"/>
  <c r="BE38"/>
  <c r="BE39"/>
  <c r="BE40"/>
  <c r="BE25"/>
  <c r="BF36"/>
  <c r="BF38"/>
  <c r="BF39"/>
  <c r="BF40"/>
  <c r="BF25"/>
  <c r="BG36"/>
  <c r="BG38"/>
  <c r="BG39"/>
  <c r="BG40"/>
  <c r="BG25"/>
  <c r="BH36"/>
  <c r="BH38"/>
  <c r="BH39"/>
  <c r="BH40"/>
  <c r="BH25"/>
  <c r="BI36"/>
  <c r="BI38"/>
  <c r="BI39"/>
  <c r="BI40"/>
  <c r="BI25"/>
  <c r="BJ36"/>
  <c r="BJ38"/>
  <c r="BJ39"/>
  <c r="BJ40"/>
  <c r="BJ25"/>
  <c r="K75"/>
  <c r="AL60"/>
  <c r="D60"/>
  <c r="C60"/>
  <c r="K60"/>
  <c r="AJ75"/>
  <c r="K77"/>
  <c r="H73"/>
  <c r="BA2"/>
  <c r="BM38"/>
  <c r="BN38"/>
  <c r="BO38"/>
  <c r="BP38"/>
  <c r="BQ38"/>
  <c r="BR38"/>
  <c r="BL38"/>
  <c r="BT38"/>
  <c r="BW38"/>
  <c r="BM39"/>
  <c r="BN39"/>
  <c r="BO39"/>
  <c r="BP39"/>
  <c r="BQ39"/>
  <c r="BR39"/>
  <c r="BL39"/>
  <c r="BT39"/>
  <c r="BW39"/>
  <c r="BM40"/>
  <c r="BN40"/>
  <c r="BO40"/>
  <c r="BP40"/>
  <c r="BQ40"/>
  <c r="BR40"/>
  <c r="BL40"/>
  <c r="BT40"/>
  <c r="BW40"/>
  <c r="BM42"/>
  <c r="BN42"/>
  <c r="BO42"/>
  <c r="BP42"/>
  <c r="BQ42"/>
  <c r="BR42"/>
  <c r="BL42"/>
  <c r="BT42"/>
  <c r="BW42"/>
  <c r="BM43"/>
  <c r="BN43"/>
  <c r="BO43"/>
  <c r="BP43"/>
  <c r="BQ43"/>
  <c r="BR43"/>
  <c r="BL43"/>
  <c r="BT43"/>
  <c r="BW43"/>
  <c r="BM44"/>
  <c r="BN44"/>
  <c r="BO44"/>
  <c r="BP44"/>
  <c r="BQ44"/>
  <c r="BR44"/>
  <c r="BL44"/>
  <c r="BT44"/>
  <c r="BW44"/>
  <c r="BM45"/>
  <c r="BN45"/>
  <c r="BO45"/>
  <c r="BP45"/>
  <c r="BQ45"/>
  <c r="BR45"/>
  <c r="BL45"/>
  <c r="BT45"/>
  <c r="BW45"/>
  <c r="BM46"/>
  <c r="BN46"/>
  <c r="BO46"/>
  <c r="BP46"/>
  <c r="BQ46"/>
  <c r="BR46"/>
  <c r="BL46"/>
  <c r="BT46"/>
  <c r="BW46"/>
  <c r="BM48"/>
  <c r="BN48"/>
  <c r="BO48"/>
  <c r="BP48"/>
  <c r="BQ48"/>
  <c r="BR48"/>
  <c r="BL48"/>
  <c r="BT48"/>
  <c r="BW48"/>
  <c r="BM49"/>
  <c r="BN49"/>
  <c r="BO49"/>
  <c r="BP49"/>
  <c r="BQ49"/>
  <c r="BR49"/>
  <c r="BL49"/>
  <c r="BT49"/>
  <c r="BW49"/>
  <c r="BM50"/>
  <c r="BN50"/>
  <c r="BO50"/>
  <c r="BP50"/>
  <c r="BQ50"/>
  <c r="BR50"/>
  <c r="BL50"/>
  <c r="BT50"/>
  <c r="BW50"/>
  <c r="BM52"/>
  <c r="BN52"/>
  <c r="BO52"/>
  <c r="BP52"/>
  <c r="BQ52"/>
  <c r="BR52"/>
  <c r="BL52"/>
  <c r="BT51"/>
  <c r="BT52"/>
  <c r="BW52"/>
  <c r="BM53"/>
  <c r="BN53"/>
  <c r="BO53"/>
  <c r="BP53"/>
  <c r="BQ53"/>
  <c r="BR53"/>
  <c r="BL53"/>
  <c r="BT53"/>
  <c r="BW53"/>
  <c r="BT36"/>
  <c r="BW36"/>
  <c r="BW25"/>
  <c r="BW23"/>
  <c r="BX38"/>
  <c r="BX39"/>
  <c r="BX40"/>
  <c r="BX42"/>
  <c r="BX43"/>
  <c r="BX44"/>
  <c r="BX45"/>
  <c r="BX46"/>
  <c r="BX48"/>
  <c r="BX49"/>
  <c r="BX50"/>
  <c r="BX52"/>
  <c r="BX53"/>
  <c r="BX36"/>
  <c r="BX25"/>
  <c r="BX23"/>
  <c r="F11"/>
  <c r="BC1"/>
  <c r="BC2"/>
  <c r="BY38"/>
  <c r="BY39"/>
  <c r="BY40"/>
  <c r="BY42"/>
  <c r="BY43"/>
  <c r="BY44"/>
  <c r="BY45"/>
  <c r="BY46"/>
  <c r="BY48"/>
  <c r="BY49"/>
  <c r="BY50"/>
  <c r="BY52"/>
  <c r="BY53"/>
  <c r="BZ38"/>
  <c r="BZ39"/>
  <c r="BZ40"/>
  <c r="BZ42"/>
  <c r="BZ43"/>
  <c r="BZ44"/>
  <c r="BZ45"/>
  <c r="BZ46"/>
  <c r="BZ48"/>
  <c r="BZ49"/>
  <c r="BZ50"/>
  <c r="BZ52"/>
  <c r="BZ53"/>
  <c r="BZ36"/>
  <c r="BZ25"/>
  <c r="BZ23"/>
  <c r="CA38"/>
  <c r="CA39"/>
  <c r="CA40"/>
  <c r="CA42"/>
  <c r="CA43"/>
  <c r="CA44"/>
  <c r="CA45"/>
  <c r="CA46"/>
  <c r="CA48"/>
  <c r="CA49"/>
  <c r="CA50"/>
  <c r="CA52"/>
  <c r="CA53"/>
  <c r="CA36"/>
  <c r="CA25"/>
  <c r="CA23"/>
  <c r="CB38"/>
  <c r="CB39"/>
  <c r="CB40"/>
  <c r="CB42"/>
  <c r="CB43"/>
  <c r="CB44"/>
  <c r="CB45"/>
  <c r="CB46"/>
  <c r="CB48"/>
  <c r="CB49"/>
  <c r="CB50"/>
  <c r="CB52"/>
  <c r="CB53"/>
  <c r="CB36"/>
  <c r="CB25"/>
  <c r="CB23"/>
  <c r="CC38"/>
  <c r="CC39"/>
  <c r="CC40"/>
  <c r="CC42"/>
  <c r="CC43"/>
  <c r="CC44"/>
  <c r="CC45"/>
  <c r="CC46"/>
  <c r="CC48"/>
  <c r="CC49"/>
  <c r="CC50"/>
  <c r="CC52"/>
  <c r="CC53"/>
  <c r="CC36"/>
  <c r="CC25"/>
  <c r="CC23"/>
  <c r="BY36"/>
  <c r="BY25"/>
  <c r="BY23"/>
  <c r="BE1"/>
  <c r="BE2"/>
  <c r="BG1"/>
  <c r="BG2"/>
  <c r="AK64"/>
  <c r="AK63"/>
  <c r="AK61"/>
  <c r="AK62"/>
  <c r="AK60"/>
  <c r="BL16"/>
  <c r="BN16"/>
  <c r="BM16"/>
  <c r="BM14"/>
  <c r="BX16"/>
  <c r="BX14"/>
  <c r="BJ19"/>
  <c r="BL19"/>
  <c r="BP19"/>
  <c r="BP14"/>
  <c r="BN14"/>
  <c r="AW1"/>
  <c r="BL17"/>
  <c r="BO17"/>
  <c r="BO14"/>
  <c r="AX1"/>
  <c r="AY1"/>
  <c r="AZ1"/>
  <c r="BA1"/>
  <c r="AU1"/>
  <c r="AT1"/>
  <c r="AI1"/>
  <c r="AQ4"/>
  <c r="AP4"/>
  <c r="CB19"/>
  <c r="CB14"/>
  <c r="BN2"/>
  <c r="BO25"/>
  <c r="BF19"/>
  <c r="BF14"/>
  <c r="A46"/>
  <c r="A51"/>
  <c r="A52"/>
  <c r="A53"/>
  <c r="V25"/>
  <c r="W25"/>
  <c r="AS25"/>
  <c r="B25"/>
  <c r="X25"/>
  <c r="Y25"/>
  <c r="F25"/>
  <c r="AA25"/>
  <c r="Z25"/>
  <c r="AP25"/>
  <c r="G25"/>
  <c r="AE25"/>
  <c r="AD25"/>
  <c r="AQ25"/>
  <c r="H25"/>
  <c r="AG25"/>
  <c r="AF25"/>
  <c r="U25"/>
  <c r="S25"/>
  <c r="AU8"/>
  <c r="A8"/>
  <c r="AO25"/>
  <c r="CL38"/>
  <c r="CL39"/>
  <c r="CL40"/>
  <c r="CL42"/>
  <c r="CL46"/>
  <c r="CL48"/>
  <c r="CL52"/>
  <c r="CL36"/>
  <c r="CL25"/>
  <c r="CL23"/>
  <c r="CF38"/>
  <c r="CF39"/>
  <c r="CF40"/>
  <c r="CF45"/>
  <c r="CF50"/>
  <c r="CF53"/>
  <c r="CF36"/>
  <c r="CF25"/>
  <c r="CF23"/>
  <c r="CL21"/>
  <c r="CL20"/>
  <c r="CF21"/>
  <c r="CF20"/>
  <c r="AN19"/>
  <c r="AO19"/>
  <c r="AS19"/>
  <c r="AT19"/>
  <c r="AU19"/>
  <c r="AW19"/>
  <c r="AO27"/>
  <c r="AK38"/>
  <c r="G38"/>
  <c r="AK39"/>
  <c r="G39"/>
  <c r="AK40"/>
  <c r="G40"/>
  <c r="J36"/>
  <c r="AL54"/>
  <c r="AK54"/>
  <c r="AI54"/>
  <c r="C54"/>
  <c r="G54"/>
  <c r="G60"/>
  <c r="G61"/>
  <c r="G62"/>
  <c r="G63"/>
  <c r="G64"/>
  <c r="AK68"/>
  <c r="AM36"/>
  <c r="AM60"/>
  <c r="E60"/>
  <c r="AM61"/>
  <c r="E61"/>
  <c r="AI61"/>
  <c r="AM63"/>
  <c r="E63"/>
  <c r="AM64"/>
  <c r="E64"/>
  <c r="AV19"/>
  <c r="BD19"/>
  <c r="BD14"/>
  <c r="AQ19"/>
  <c r="BE19"/>
  <c r="BE14"/>
  <c r="G21"/>
  <c r="G22"/>
  <c r="AK27"/>
  <c r="C27"/>
  <c r="G27"/>
  <c r="C28"/>
  <c r="G28"/>
  <c r="H77"/>
  <c r="C29"/>
  <c r="G29"/>
  <c r="AJ68"/>
  <c r="AI68"/>
  <c r="G6"/>
  <c r="H19"/>
  <c r="H22"/>
  <c r="H27"/>
  <c r="H28"/>
  <c r="H29"/>
  <c r="H36"/>
  <c r="AL38"/>
  <c r="H38"/>
  <c r="AL39"/>
  <c r="H39"/>
  <c r="AL40"/>
  <c r="H40"/>
  <c r="H54"/>
  <c r="AI60"/>
  <c r="H60"/>
  <c r="H61"/>
  <c r="H62"/>
  <c r="AI63"/>
  <c r="H63"/>
  <c r="AI64"/>
  <c r="H64"/>
  <c r="H6"/>
  <c r="BQ19"/>
  <c r="BQ14"/>
  <c r="I6"/>
  <c r="S6"/>
  <c r="AG6"/>
  <c r="AF6"/>
  <c r="AE6"/>
  <c r="AD6"/>
  <c r="U6"/>
  <c r="AK6"/>
  <c r="AJ6"/>
  <c r="AI6"/>
  <c r="G7"/>
  <c r="H7"/>
  <c r="I7"/>
  <c r="BC19"/>
  <c r="BC14"/>
  <c r="B18"/>
  <c r="A18"/>
  <c r="S18"/>
  <c r="X18"/>
  <c r="Y18"/>
  <c r="A19"/>
  <c r="F19"/>
  <c r="S19"/>
  <c r="AA19"/>
  <c r="Z19"/>
  <c r="AE19"/>
  <c r="AD19"/>
  <c r="AG19"/>
  <c r="AF19"/>
  <c r="U19"/>
  <c r="S21"/>
  <c r="AE21"/>
  <c r="AD21"/>
  <c r="U21"/>
  <c r="S22"/>
  <c r="AE22"/>
  <c r="AD22"/>
  <c r="AG22"/>
  <c r="AF22"/>
  <c r="U22"/>
  <c r="AK31"/>
  <c r="AJ31"/>
  <c r="AI31"/>
  <c r="G31"/>
  <c r="S31"/>
  <c r="AE31"/>
  <c r="AD31"/>
  <c r="U31"/>
  <c r="I68"/>
  <c r="H68"/>
  <c r="B68"/>
  <c r="G68"/>
  <c r="S68"/>
  <c r="X68"/>
  <c r="Y68"/>
  <c r="AE68"/>
  <c r="AD68"/>
  <c r="AG68"/>
  <c r="AF68"/>
  <c r="U68"/>
  <c r="AI69"/>
  <c r="B69"/>
  <c r="S69"/>
  <c r="AM69"/>
  <c r="AM68"/>
  <c r="X69"/>
  <c r="Y69"/>
  <c r="U69"/>
  <c r="B70"/>
  <c r="S70"/>
  <c r="AM70"/>
  <c r="X70"/>
  <c r="Y70"/>
  <c r="U70"/>
  <c r="A83"/>
  <c r="D83"/>
  <c r="G83"/>
  <c r="S83"/>
  <c r="AM83"/>
  <c r="Y83"/>
  <c r="X83"/>
  <c r="AN83"/>
  <c r="AA83"/>
  <c r="Z83"/>
  <c r="AL83"/>
  <c r="W83"/>
  <c r="V83"/>
  <c r="U83"/>
  <c r="D86"/>
  <c r="S86"/>
  <c r="D87"/>
  <c r="AL87"/>
  <c r="AM87"/>
  <c r="D88"/>
  <c r="AL88"/>
  <c r="AM88"/>
  <c r="D89"/>
  <c r="AL89"/>
  <c r="AM89"/>
  <c r="D90"/>
  <c r="AL90"/>
  <c r="AM90"/>
  <c r="H89"/>
  <c r="AO89"/>
  <c r="AP89"/>
  <c r="AP85"/>
  <c r="AD86"/>
  <c r="AC86"/>
  <c r="AL86"/>
  <c r="AM86"/>
  <c r="AM85"/>
  <c r="Y86"/>
  <c r="X86"/>
  <c r="U86"/>
  <c r="S87"/>
  <c r="AD87"/>
  <c r="AC87"/>
  <c r="Y87"/>
  <c r="X87"/>
  <c r="U87"/>
  <c r="AD88"/>
  <c r="AC88"/>
  <c r="Y88"/>
  <c r="X88"/>
  <c r="U88"/>
  <c r="S89"/>
  <c r="AD89"/>
  <c r="AC89"/>
  <c r="Y89"/>
  <c r="X89"/>
  <c r="U89"/>
  <c r="S90"/>
  <c r="Y90"/>
  <c r="X90"/>
  <c r="U90"/>
  <c r="Y91"/>
  <c r="X91"/>
  <c r="U91"/>
  <c r="D93"/>
  <c r="H93"/>
  <c r="S93"/>
  <c r="AL93"/>
  <c r="AM93"/>
  <c r="AO93"/>
  <c r="AP93"/>
  <c r="AD93"/>
  <c r="AC93"/>
  <c r="Y93"/>
  <c r="X93"/>
  <c r="U93"/>
  <c r="G95"/>
  <c r="S95"/>
  <c r="AN95"/>
  <c r="AB95"/>
  <c r="AA95"/>
  <c r="Z95"/>
  <c r="U95"/>
  <c r="G96"/>
  <c r="S96"/>
  <c r="AN96"/>
  <c r="AB96"/>
  <c r="AA96"/>
  <c r="Z96"/>
  <c r="U96"/>
  <c r="AE27"/>
  <c r="AD27"/>
  <c r="AG27"/>
  <c r="AF27"/>
  <c r="AC27"/>
  <c r="AB27"/>
  <c r="U27"/>
  <c r="AC29"/>
  <c r="AB29"/>
  <c r="AG29"/>
  <c r="AF29"/>
  <c r="AE29"/>
  <c r="AD29"/>
  <c r="S73"/>
  <c r="S77"/>
  <c r="S27"/>
  <c r="S28"/>
  <c r="S29"/>
  <c r="S88"/>
  <c r="J54"/>
  <c r="J68"/>
  <c r="S54"/>
  <c r="S39"/>
  <c r="J6"/>
  <c r="J7"/>
  <c r="S75"/>
  <c r="AG77"/>
  <c r="AF77"/>
  <c r="AC77"/>
  <c r="AB77"/>
  <c r="U77"/>
  <c r="AG75"/>
  <c r="AF75"/>
  <c r="U75"/>
  <c r="AC74"/>
  <c r="AB74"/>
  <c r="U74"/>
  <c r="U39"/>
  <c r="AG39"/>
  <c r="AF39"/>
  <c r="AE39"/>
  <c r="AD39"/>
  <c r="AC54"/>
  <c r="AB54"/>
  <c r="AE54"/>
  <c r="AD54"/>
  <c r="AG54"/>
  <c r="AF54"/>
  <c r="U54"/>
  <c r="U28"/>
  <c r="AG28"/>
  <c r="AF28"/>
  <c r="AE28"/>
  <c r="AD28"/>
  <c r="AC28"/>
  <c r="AB28"/>
  <c r="U29"/>
  <c r="AN39"/>
  <c r="U63"/>
  <c r="X63"/>
  <c r="Y63"/>
  <c r="AC63"/>
  <c r="AB63"/>
  <c r="AE63"/>
  <c r="AD63"/>
  <c r="AG63"/>
  <c r="AF63"/>
  <c r="AN64"/>
  <c r="AO64"/>
  <c r="AP64"/>
  <c r="AP63"/>
  <c r="AO63"/>
  <c r="AN63"/>
  <c r="S63"/>
  <c r="S64"/>
  <c r="F17"/>
  <c r="S17"/>
  <c r="AN61"/>
  <c r="AO61"/>
  <c r="AP61"/>
  <c r="AM62"/>
  <c r="AN62"/>
  <c r="AO62"/>
  <c r="AP62"/>
  <c r="AP60"/>
  <c r="AO60"/>
  <c r="AN60"/>
  <c r="BD23"/>
  <c r="BJ23"/>
  <c r="BI23"/>
  <c r="BH23"/>
  <c r="BG23"/>
  <c r="BF23"/>
  <c r="CK38"/>
  <c r="CK39"/>
  <c r="CK40"/>
  <c r="CK36"/>
  <c r="CK25"/>
  <c r="CK21"/>
  <c r="CK20"/>
  <c r="CJ38"/>
  <c r="CJ39"/>
  <c r="CJ40"/>
  <c r="CJ36"/>
  <c r="CJ25"/>
  <c r="CJ21"/>
  <c r="CJ20"/>
  <c r="CI38"/>
  <c r="CI39"/>
  <c r="CI40"/>
  <c r="CI44"/>
  <c r="CI36"/>
  <c r="CI25"/>
  <c r="CI21"/>
  <c r="CI20"/>
  <c r="CH38"/>
  <c r="CH39"/>
  <c r="CH40"/>
  <c r="CH43"/>
  <c r="CH49"/>
  <c r="CH36"/>
  <c r="CH25"/>
  <c r="CH21"/>
  <c r="CH20"/>
  <c r="CG38"/>
  <c r="CG39"/>
  <c r="CG40"/>
  <c r="CG36"/>
  <c r="CG25"/>
  <c r="CG21"/>
  <c r="CG20"/>
  <c r="CK23"/>
  <c r="CJ23"/>
  <c r="CI23"/>
  <c r="CH23"/>
  <c r="CG23"/>
  <c r="AI38"/>
  <c r="AI40"/>
  <c r="AI39"/>
  <c r="S38"/>
  <c r="S40"/>
  <c r="F36"/>
  <c r="S36"/>
  <c r="S62"/>
  <c r="S61"/>
  <c r="S60"/>
  <c r="S11"/>
  <c r="AI8"/>
  <c r="AL8"/>
  <c r="F8"/>
  <c r="S8"/>
  <c r="AN40"/>
  <c r="BE23"/>
  <c r="A36"/>
  <c r="AA17"/>
  <c r="Z17"/>
  <c r="U17"/>
  <c r="AA11"/>
  <c r="Z11"/>
  <c r="AA8"/>
  <c r="Z8"/>
  <c r="U8"/>
  <c r="AG61"/>
  <c r="AF61"/>
  <c r="AE61"/>
  <c r="AD61"/>
  <c r="AG40"/>
  <c r="AF40"/>
  <c r="AE40"/>
  <c r="AD40"/>
  <c r="AG36"/>
  <c r="AF36"/>
  <c r="AE36"/>
  <c r="AD36"/>
  <c r="AC61"/>
  <c r="AB61"/>
  <c r="X61"/>
  <c r="Y61"/>
  <c r="A50"/>
  <c r="A49"/>
  <c r="A48"/>
  <c r="A45"/>
  <c r="A44"/>
  <c r="A43"/>
  <c r="A42"/>
  <c r="X40"/>
  <c r="Y40"/>
  <c r="A40"/>
  <c r="A39"/>
  <c r="A38"/>
  <c r="AA36"/>
  <c r="Z36"/>
  <c r="U36"/>
  <c r="AJ36"/>
  <c r="X36"/>
  <c r="Y36"/>
  <c r="U38"/>
  <c r="AG38"/>
  <c r="AF38"/>
  <c r="AE38"/>
  <c r="AD38"/>
  <c r="X38"/>
  <c r="Y38"/>
  <c r="U40"/>
  <c r="X39"/>
  <c r="Y39"/>
  <c r="U60"/>
  <c r="AG60"/>
  <c r="AF60"/>
  <c r="AE60"/>
  <c r="AD60"/>
  <c r="AC60"/>
  <c r="AB60"/>
  <c r="X60"/>
  <c r="Y60"/>
  <c r="U61"/>
  <c r="U62"/>
  <c r="AG62"/>
  <c r="AF62"/>
  <c r="AE62"/>
  <c r="AD62"/>
  <c r="AC62"/>
  <c r="AB62"/>
  <c r="X62"/>
  <c r="Y62"/>
  <c r="U64"/>
  <c r="AG64"/>
  <c r="AF64"/>
  <c r="AE64"/>
  <c r="AD64"/>
  <c r="AC64"/>
  <c r="AB64"/>
  <c r="X64"/>
  <c r="Y64"/>
  <c r="U59"/>
  <c r="AN38"/>
  <c r="BM47"/>
  <c r="BN1"/>
  <c r="BO1"/>
  <c r="K19"/>
  <c r="AX19"/>
  <c r="AM17"/>
  <c r="CO16"/>
  <c r="A16"/>
  <c r="A17"/>
  <c r="AX16"/>
  <c r="AU2"/>
  <c r="AT2"/>
  <c r="AI2"/>
  <c r="AI4"/>
  <c r="C4"/>
  <c r="U4"/>
  <c r="S4"/>
  <c r="AN1"/>
  <c r="AM1"/>
  <c r="AN2"/>
  <c r="AM2"/>
  <c r="C2"/>
  <c r="S2"/>
  <c r="AQ5"/>
  <c r="AP5"/>
  <c r="AL5"/>
  <c r="AI5"/>
  <c r="C5"/>
  <c r="S5"/>
  <c r="AQ3"/>
  <c r="AP3"/>
  <c r="AI3"/>
  <c r="C3"/>
  <c r="U3"/>
  <c r="U5"/>
  <c r="U2"/>
  <c r="T2"/>
  <c r="T3"/>
  <c r="T4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100"/>
  <c r="B100"/>
  <c r="S3"/>
  <c r="AC140" i="2"/>
  <c r="AC141"/>
  <c r="AC142"/>
  <c r="AC143"/>
  <c r="AC144"/>
  <c r="AC145"/>
  <c r="AC146"/>
  <c r="AC147"/>
  <c r="AC148"/>
  <c r="AC149"/>
  <c r="AC150"/>
  <c r="AB138"/>
  <c r="G292"/>
  <c r="H292"/>
  <c r="I292"/>
  <c r="J292"/>
  <c r="K292"/>
  <c r="L292"/>
  <c r="M292"/>
  <c r="N292"/>
  <c r="O292"/>
  <c r="H291"/>
  <c r="I291"/>
  <c r="J291"/>
  <c r="K291"/>
  <c r="L291"/>
  <c r="M291"/>
  <c r="N291"/>
  <c r="O291"/>
  <c r="G291"/>
  <c r="A291"/>
  <c r="A290"/>
  <c r="A315"/>
  <c r="A324"/>
  <c r="A282"/>
  <c r="A283"/>
  <c r="A284"/>
  <c r="A285"/>
  <c r="A286"/>
  <c r="A287"/>
  <c r="A288"/>
  <c r="A289"/>
  <c r="A292"/>
  <c r="A281"/>
  <c r="A280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41"/>
  <c r="A240"/>
  <c r="A3"/>
  <c r="A4"/>
  <c r="C4"/>
  <c r="G203"/>
  <c r="D204"/>
  <c r="G208"/>
  <c r="G206"/>
  <c r="C210"/>
  <c r="C211"/>
  <c r="C212"/>
  <c r="C213"/>
  <c r="C214"/>
  <c r="C215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C22"/>
  <c r="G215"/>
  <c r="C21"/>
  <c r="G214"/>
  <c r="C20"/>
  <c r="G213"/>
  <c r="C19"/>
  <c r="G212"/>
  <c r="C18"/>
  <c r="G211"/>
  <c r="C17"/>
  <c r="G210"/>
  <c r="C16"/>
  <c r="G209"/>
  <c r="C15"/>
  <c r="G207"/>
  <c r="C14"/>
  <c r="G205"/>
  <c r="D215"/>
  <c r="D214"/>
  <c r="D213"/>
  <c r="D212"/>
  <c r="D211"/>
  <c r="D210"/>
  <c r="D209"/>
  <c r="D207"/>
  <c r="D205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A5"/>
  <c r="C5"/>
  <c r="A6"/>
  <c r="C6"/>
  <c r="A7"/>
  <c r="C7"/>
  <c r="A8"/>
  <c r="C8"/>
  <c r="A9"/>
  <c r="C9"/>
  <c r="A10"/>
  <c r="C10"/>
  <c r="A11"/>
  <c r="C11"/>
  <c r="A12"/>
  <c r="C12"/>
  <c r="A13"/>
  <c r="C13"/>
  <c r="C23"/>
  <c r="C24"/>
  <c r="C25"/>
  <c r="C26"/>
  <c r="C27"/>
  <c r="C28"/>
  <c r="C29"/>
  <c r="C30"/>
  <c r="C31"/>
  <c r="C32"/>
  <c r="C33"/>
  <c r="C34"/>
  <c r="C35"/>
  <c r="C36"/>
  <c r="C37"/>
  <c r="B32"/>
  <c r="B33"/>
  <c r="B34"/>
  <c r="B35"/>
  <c r="B36"/>
  <c r="B37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A61"/>
  <c r="C61"/>
  <c r="A62"/>
  <c r="C62"/>
  <c r="A63"/>
  <c r="C63"/>
  <c r="A64"/>
  <c r="C64"/>
  <c r="A65"/>
  <c r="C65"/>
  <c r="A66"/>
  <c r="C66"/>
  <c r="A67"/>
  <c r="C67"/>
  <c r="A68"/>
  <c r="C68"/>
  <c r="A69"/>
  <c r="C69"/>
  <c r="A70"/>
  <c r="C70"/>
  <c r="A71"/>
  <c r="C71"/>
  <c r="A72"/>
  <c r="C72"/>
  <c r="A73"/>
  <c r="C73"/>
  <c r="A74"/>
  <c r="C74"/>
  <c r="C42"/>
  <c r="A12" i="3"/>
  <c r="B12"/>
  <c r="A4"/>
  <c r="D6"/>
  <c r="D4"/>
  <c r="D7"/>
  <c r="D21"/>
  <c r="D20"/>
  <c r="D19"/>
  <c r="F20"/>
  <c r="F19"/>
  <c r="B6"/>
  <c r="E20"/>
  <c r="E19"/>
  <c r="B5"/>
  <c r="D5"/>
  <c r="D18"/>
  <c r="B4"/>
  <c r="C4"/>
</calcChain>
</file>

<file path=xl/sharedStrings.xml><?xml version="1.0" encoding="utf-8"?>
<sst xmlns="http://schemas.openxmlformats.org/spreadsheetml/2006/main" count="772" uniqueCount="437">
  <si>
    <t>D Destroyer</t>
    <phoneticPr fontId="1" type="noConversion"/>
  </si>
  <si>
    <t>Armour</t>
  </si>
  <si>
    <t>G Gunned</t>
    <phoneticPr fontId="1" type="noConversion"/>
  </si>
  <si>
    <t>Slow Pinnace</t>
    <phoneticPr fontId="1" type="noConversion"/>
  </si>
  <si>
    <t>Dim for</t>
    <phoneticPr fontId="1" type="noConversion"/>
  </si>
  <si>
    <t>Total tonnage</t>
    <phoneticPr fontId="1" type="noConversion"/>
  </si>
  <si>
    <t>USPnum</t>
    <phoneticPr fontId="1" type="noConversion"/>
  </si>
  <si>
    <t>BarrNum</t>
    <phoneticPr fontId="1" type="noConversion"/>
  </si>
  <si>
    <t>C Cruiser</t>
    <phoneticPr fontId="1" type="noConversion"/>
  </si>
  <si>
    <t>F</t>
    <phoneticPr fontId="1" type="noConversion"/>
  </si>
  <si>
    <t>H</t>
    <phoneticPr fontId="1" type="noConversion"/>
  </si>
  <si>
    <t>Computer</t>
    <phoneticPr fontId="1" type="noConversion"/>
  </si>
  <si>
    <t>Designation</t>
    <phoneticPr fontId="1" type="noConversion"/>
  </si>
  <si>
    <t>Column</t>
    <phoneticPr fontId="1" type="noConversion"/>
  </si>
  <si>
    <t>C</t>
    <phoneticPr fontId="1" type="noConversion"/>
  </si>
  <si>
    <t># Frozen W</t>
    <phoneticPr fontId="1" type="noConversion"/>
  </si>
  <si>
    <t>Sand</t>
    <phoneticPr fontId="1" type="noConversion"/>
  </si>
  <si>
    <t>Repulsor</t>
    <phoneticPr fontId="1" type="noConversion"/>
  </si>
  <si>
    <t>Std USP</t>
    <phoneticPr fontId="1" type="noConversion"/>
  </si>
  <si>
    <t>Hull Only</t>
    <phoneticPr fontId="1" type="noConversion"/>
  </si>
  <si>
    <t>Total Tonnage</t>
  </si>
  <si>
    <t>Total Tonnage</t>
    <phoneticPr fontId="1" type="noConversion"/>
  </si>
  <si>
    <t>Passengers</t>
    <phoneticPr fontId="1" type="noConversion"/>
  </si>
  <si>
    <t xml:space="preserve">  Weapon</t>
    <phoneticPr fontId="1" type="noConversion"/>
  </si>
  <si>
    <t>Cutter Module</t>
    <phoneticPr fontId="1" type="noConversion"/>
  </si>
  <si>
    <t>J Fuel #</t>
    <phoneticPr fontId="1" type="noConversion"/>
  </si>
  <si>
    <t>USP</t>
    <phoneticPr fontId="1" type="noConversion"/>
  </si>
  <si>
    <t>%</t>
    <phoneticPr fontId="1" type="noConversion"/>
  </si>
  <si>
    <t>TLmod</t>
    <phoneticPr fontId="1" type="noConversion"/>
  </si>
  <si>
    <t>Expenses per jump</t>
  </si>
  <si>
    <t>W</t>
    <phoneticPr fontId="1" type="noConversion"/>
  </si>
  <si>
    <t>X</t>
    <phoneticPr fontId="1" type="noConversion"/>
  </si>
  <si>
    <t>LBB2:</t>
    <phoneticPr fontId="1" type="noConversion"/>
  </si>
  <si>
    <t>Plasma</t>
    <phoneticPr fontId="1" type="noConversion"/>
  </si>
  <si>
    <t>R Liner</t>
    <phoneticPr fontId="1" type="noConversion"/>
  </si>
  <si>
    <t>T Tender</t>
    <phoneticPr fontId="1" type="noConversion"/>
  </si>
  <si>
    <t>Meson</t>
    <phoneticPr fontId="1" type="noConversion"/>
  </si>
  <si>
    <t>Particle</t>
    <phoneticPr fontId="1" type="noConversion"/>
  </si>
  <si>
    <t>Bay</t>
    <phoneticPr fontId="1" type="noConversion"/>
  </si>
  <si>
    <t>Needed Full</t>
    <phoneticPr fontId="1" type="noConversion"/>
  </si>
  <si>
    <t>Laser</t>
    <phoneticPr fontId="1" type="noConversion"/>
  </si>
  <si>
    <t>Energy</t>
    <phoneticPr fontId="1" type="noConversion"/>
  </si>
  <si>
    <t>E</t>
    <phoneticPr fontId="1" type="noConversion"/>
  </si>
  <si>
    <t>D</t>
    <phoneticPr fontId="1" type="noConversion"/>
  </si>
  <si>
    <t xml:space="preserve">V </t>
    <phoneticPr fontId="1" type="noConversion"/>
  </si>
  <si>
    <t xml:space="preserve">Z </t>
    <phoneticPr fontId="1" type="noConversion"/>
  </si>
  <si>
    <t xml:space="preserve">I </t>
    <phoneticPr fontId="1" type="noConversion"/>
  </si>
  <si>
    <t xml:space="preserve">J </t>
    <phoneticPr fontId="1" type="noConversion"/>
  </si>
  <si>
    <t>Cargo</t>
  </si>
  <si>
    <t>#</t>
    <phoneticPr fontId="1" type="noConversion"/>
  </si>
  <si>
    <t>TL</t>
    <phoneticPr fontId="1" type="noConversion"/>
  </si>
  <si>
    <t>None</t>
    <phoneticPr fontId="1" type="noConversion"/>
  </si>
  <si>
    <t>Missile</t>
    <phoneticPr fontId="1" type="noConversion"/>
  </si>
  <si>
    <t>Type</t>
    <phoneticPr fontId="1" type="noConversion"/>
  </si>
  <si>
    <t>None</t>
    <phoneticPr fontId="1" type="noConversion"/>
  </si>
  <si>
    <t>Cost</t>
    <phoneticPr fontId="1" type="noConversion"/>
  </si>
  <si>
    <t>Meson Screen</t>
    <phoneticPr fontId="1" type="noConversion"/>
  </si>
  <si>
    <t>Beam</t>
    <phoneticPr fontId="1" type="noConversion"/>
  </si>
  <si>
    <t>Pulse</t>
  </si>
  <si>
    <t>Bridge</t>
  </si>
  <si>
    <t>F Frigate</t>
    <phoneticPr fontId="1" type="noConversion"/>
  </si>
  <si>
    <t>Y</t>
    <phoneticPr fontId="1" type="noConversion"/>
  </si>
  <si>
    <t>Missile</t>
  </si>
  <si>
    <t>Black Globe</t>
    <phoneticPr fontId="1" type="noConversion"/>
  </si>
  <si>
    <t>Valid Values:</t>
    <phoneticPr fontId="1" type="noConversion"/>
  </si>
  <si>
    <t>TL avail</t>
    <phoneticPr fontId="1" type="noConversion"/>
  </si>
  <si>
    <t>Crew</t>
    <phoneticPr fontId="1" type="noConversion"/>
  </si>
  <si>
    <t>Sand</t>
    <phoneticPr fontId="1" type="noConversion"/>
  </si>
  <si>
    <t>Crew</t>
    <phoneticPr fontId="1" type="noConversion"/>
  </si>
  <si>
    <t>Frozen</t>
    <phoneticPr fontId="1" type="noConversion"/>
  </si>
  <si>
    <t>Manoeuvre D</t>
    <phoneticPr fontId="1" type="noConversion"/>
  </si>
  <si>
    <t>Fusion</t>
    <phoneticPr fontId="1" type="noConversion"/>
  </si>
  <si>
    <t>Vehicles</t>
    <phoneticPr fontId="1" type="noConversion"/>
  </si>
  <si>
    <t>Standard Hull</t>
    <phoneticPr fontId="1" type="noConversion"/>
  </si>
  <si>
    <t>Eng</t>
    <phoneticPr fontId="1" type="noConversion"/>
  </si>
  <si>
    <t>Type</t>
    <phoneticPr fontId="1" type="noConversion"/>
  </si>
  <si>
    <t>Wpn/Tu</t>
    <phoneticPr fontId="1" type="noConversion"/>
  </si>
  <si>
    <t>Tu/B</t>
    <phoneticPr fontId="1" type="noConversion"/>
  </si>
  <si>
    <t>Crew Large ship</t>
    <phoneticPr fontId="1" type="noConversion"/>
  </si>
  <si>
    <t>L Light</t>
    <phoneticPr fontId="1" type="noConversion"/>
  </si>
  <si>
    <t>P Planetoid</t>
    <phoneticPr fontId="1" type="noConversion"/>
  </si>
  <si>
    <t>N Non-standard</t>
    <phoneticPr fontId="1" type="noConversion"/>
  </si>
  <si>
    <t>Yearly yield on down payment</t>
    <phoneticPr fontId="1" type="noConversion"/>
  </si>
  <si>
    <t>C Close</t>
    <phoneticPr fontId="1" type="noConversion"/>
  </si>
  <si>
    <t>Factor</t>
    <phoneticPr fontId="1" type="noConversion"/>
  </si>
  <si>
    <t>EP</t>
    <phoneticPr fontId="1" type="noConversion"/>
  </si>
  <si>
    <t>E Escort</t>
    <phoneticPr fontId="1" type="noConversion"/>
  </si>
  <si>
    <t>Cone</t>
    <phoneticPr fontId="1" type="noConversion"/>
  </si>
  <si>
    <t>Nominal Cost</t>
    <phoneticPr fontId="1" type="noConversion"/>
  </si>
  <si>
    <t>Crew small craft</t>
    <phoneticPr fontId="1" type="noConversion"/>
  </si>
  <si>
    <t>\</t>
    <phoneticPr fontId="1" type="noConversion"/>
  </si>
  <si>
    <t>Size</t>
    <phoneticPr fontId="1" type="noConversion"/>
  </si>
  <si>
    <t>Cr</t>
    <phoneticPr fontId="1" type="noConversion"/>
  </si>
  <si>
    <t>F Fighter</t>
    <phoneticPr fontId="1" type="noConversion"/>
  </si>
  <si>
    <t>Dispersed</t>
    <phoneticPr fontId="1" type="noConversion"/>
  </si>
  <si>
    <t>Unstreamlined</t>
    <phoneticPr fontId="1" type="noConversion"/>
  </si>
  <si>
    <t>GCarrier</t>
    <phoneticPr fontId="1" type="noConversion"/>
  </si>
  <si>
    <t>TL avail</t>
    <phoneticPr fontId="1" type="noConversion"/>
  </si>
  <si>
    <t>TLmod</t>
    <phoneticPr fontId="1" type="noConversion"/>
  </si>
  <si>
    <t>Factor</t>
    <phoneticPr fontId="1" type="noConversion"/>
  </si>
  <si>
    <t>Rows differ; only copy right</t>
    <phoneticPr fontId="1" type="noConversion"/>
  </si>
  <si>
    <t>S Station</t>
    <phoneticPr fontId="1" type="noConversion"/>
  </si>
  <si>
    <t>L Lab</t>
    <phoneticPr fontId="1" type="noConversion"/>
  </si>
  <si>
    <t>J</t>
    <phoneticPr fontId="1" type="noConversion"/>
  </si>
  <si>
    <t>M</t>
    <phoneticPr fontId="1" type="noConversion"/>
  </si>
  <si>
    <t>Armour</t>
    <phoneticPr fontId="1" type="noConversion"/>
  </si>
  <si>
    <t>Shuttle</t>
    <phoneticPr fontId="1" type="noConversion"/>
  </si>
  <si>
    <t>TL avail</t>
    <phoneticPr fontId="1" type="noConversion"/>
  </si>
  <si>
    <t>TLmod</t>
    <phoneticPr fontId="1" type="noConversion"/>
  </si>
  <si>
    <t>Factor</t>
    <phoneticPr fontId="1" type="noConversion"/>
  </si>
  <si>
    <t>H Heavy</t>
    <phoneticPr fontId="1" type="noConversion"/>
  </si>
  <si>
    <t>Invalid?</t>
    <phoneticPr fontId="1" type="noConversion"/>
  </si>
  <si>
    <t>M</t>
    <phoneticPr fontId="1" type="noConversion"/>
  </si>
  <si>
    <t>E Escort</t>
    <phoneticPr fontId="1" type="noConversion"/>
  </si>
  <si>
    <t>Repulsor</t>
    <phoneticPr fontId="1" type="noConversion"/>
  </si>
  <si>
    <t>Beam</t>
    <phoneticPr fontId="1" type="noConversion"/>
  </si>
  <si>
    <t>Plasma</t>
    <phoneticPr fontId="1" type="noConversion"/>
  </si>
  <si>
    <t>Class Cost</t>
    <phoneticPr fontId="1" type="noConversion"/>
  </si>
  <si>
    <t>T</t>
    <phoneticPr fontId="1" type="noConversion"/>
  </si>
  <si>
    <t>High</t>
    <phoneticPr fontId="1" type="noConversion"/>
  </si>
  <si>
    <t>Ready</t>
    <phoneticPr fontId="1" type="noConversion"/>
  </si>
  <si>
    <t>Jump Capsule</t>
    <phoneticPr fontId="1" type="noConversion"/>
  </si>
  <si>
    <t>Ship's Boat</t>
    <phoneticPr fontId="1" type="noConversion"/>
  </si>
  <si>
    <t>F Fleet</t>
    <phoneticPr fontId="1" type="noConversion"/>
  </si>
  <si>
    <t>Code</t>
    <phoneticPr fontId="1" type="noConversion"/>
  </si>
  <si>
    <t>B</t>
    <phoneticPr fontId="1" type="noConversion"/>
  </si>
  <si>
    <t>M Drive</t>
    <phoneticPr fontId="1" type="noConversion"/>
  </si>
  <si>
    <t>Power</t>
    <phoneticPr fontId="1" type="noConversion"/>
  </si>
  <si>
    <t>Drive Potential</t>
    <phoneticPr fontId="1" type="noConversion"/>
  </si>
  <si>
    <t>Nominal</t>
    <phoneticPr fontId="1" type="noConversion"/>
  </si>
  <si>
    <t>Particle</t>
    <phoneticPr fontId="1" type="noConversion"/>
  </si>
  <si>
    <t>Heavy Fighter</t>
    <phoneticPr fontId="1" type="noConversion"/>
  </si>
  <si>
    <t>Troop Transport</t>
    <phoneticPr fontId="1" type="noConversion"/>
  </si>
  <si>
    <t>USP</t>
    <phoneticPr fontId="1" type="noConversion"/>
  </si>
  <si>
    <t>Number</t>
    <phoneticPr fontId="1" type="noConversion"/>
  </si>
  <si>
    <t>A</t>
    <phoneticPr fontId="1" type="noConversion"/>
  </si>
  <si>
    <t>B</t>
    <phoneticPr fontId="1" type="noConversion"/>
  </si>
  <si>
    <t>Factor</t>
    <phoneticPr fontId="1" type="noConversion"/>
  </si>
  <si>
    <t>Launch</t>
    <phoneticPr fontId="1" type="noConversion"/>
  </si>
  <si>
    <t>USP</t>
    <phoneticPr fontId="1" type="noConversion"/>
  </si>
  <si>
    <t>J Fuel</t>
    <phoneticPr fontId="1" type="noConversion"/>
  </si>
  <si>
    <t># Frozen Watches</t>
    <phoneticPr fontId="1" type="noConversion"/>
  </si>
  <si>
    <t>Extra Staterooms</t>
    <phoneticPr fontId="1" type="noConversion"/>
  </si>
  <si>
    <t>BBCode:</t>
    <phoneticPr fontId="1" type="noConversion"/>
  </si>
  <si>
    <t>Spinal</t>
    <phoneticPr fontId="1" type="noConversion"/>
  </si>
  <si>
    <t>Bay</t>
    <phoneticPr fontId="1" type="noConversion"/>
  </si>
  <si>
    <t>Mixed Turret</t>
    <phoneticPr fontId="1" type="noConversion"/>
  </si>
  <si>
    <t>Bear</t>
    <phoneticPr fontId="1" type="noConversion"/>
  </si>
  <si>
    <t>Batt</t>
    <phoneticPr fontId="1" type="noConversion"/>
  </si>
  <si>
    <t>Z</t>
    <phoneticPr fontId="1" type="noConversion"/>
  </si>
  <si>
    <t>To post on CotI</t>
    <phoneticPr fontId="1" type="noConversion"/>
  </si>
  <si>
    <t>Y Shuttle</t>
    <phoneticPr fontId="1" type="noConversion"/>
  </si>
  <si>
    <t>Nuclear Damper</t>
    <phoneticPr fontId="1" type="noConversion"/>
  </si>
  <si>
    <t>Factor</t>
    <phoneticPr fontId="1" type="noConversion"/>
  </si>
  <si>
    <t>DM -2</t>
    <phoneticPr fontId="1" type="noConversion"/>
  </si>
  <si>
    <t>Max Comp</t>
    <phoneticPr fontId="1" type="noConversion"/>
  </si>
  <si>
    <t>Cutter</t>
    <phoneticPr fontId="1" type="noConversion"/>
  </si>
  <si>
    <t>S Scout</t>
    <phoneticPr fontId="1" type="noConversion"/>
  </si>
  <si>
    <t>R</t>
    <phoneticPr fontId="1" type="noConversion"/>
  </si>
  <si>
    <t>C</t>
    <phoneticPr fontId="1" type="noConversion"/>
  </si>
  <si>
    <t>Rating</t>
    <phoneticPr fontId="1" type="noConversion"/>
  </si>
  <si>
    <t>Fuel</t>
    <phoneticPr fontId="1" type="noConversion"/>
  </si>
  <si>
    <t>Cost</t>
    <phoneticPr fontId="1" type="noConversion"/>
  </si>
  <si>
    <t>K Pinnace</t>
    <phoneticPr fontId="1" type="noConversion"/>
  </si>
  <si>
    <t>Capacitor</t>
    <phoneticPr fontId="1" type="noConversion"/>
  </si>
  <si>
    <t>Bearing</t>
    <phoneticPr fontId="1" type="noConversion"/>
  </si>
  <si>
    <t>Fuel, #J, #weeks</t>
    <phoneticPr fontId="1" type="noConversion"/>
  </si>
  <si>
    <t>≥0</t>
    <phoneticPr fontId="1" type="noConversion"/>
  </si>
  <si>
    <t>Meson</t>
    <phoneticPr fontId="1" type="noConversion"/>
  </si>
  <si>
    <t>Type</t>
    <phoneticPr fontId="1" type="noConversion"/>
  </si>
  <si>
    <t>Prod EP</t>
    <phoneticPr fontId="1" type="noConversion"/>
  </si>
  <si>
    <t>Needed PP</t>
    <phoneticPr fontId="1" type="noConversion"/>
  </si>
  <si>
    <t>Missile</t>
    <phoneticPr fontId="1" type="noConversion"/>
  </si>
  <si>
    <t>Repulsor</t>
    <phoneticPr fontId="1" type="noConversion"/>
  </si>
  <si>
    <t>H Hospital</t>
    <phoneticPr fontId="1" type="noConversion"/>
  </si>
  <si>
    <t xml:space="preserve">   100 Dt</t>
    <phoneticPr fontId="1" type="noConversion"/>
  </si>
  <si>
    <t>Frozen Watch</t>
    <phoneticPr fontId="1" type="noConversion"/>
  </si>
  <si>
    <t>Crew</t>
    <phoneticPr fontId="1" type="noConversion"/>
  </si>
  <si>
    <t>Crew &amp;</t>
    <phoneticPr fontId="1" type="noConversion"/>
  </si>
  <si>
    <t>Invalid</t>
    <phoneticPr fontId="1" type="noConversion"/>
  </si>
  <si>
    <t>Marines</t>
  </si>
  <si>
    <t>[/code]</t>
    <phoneticPr fontId="1" type="noConversion"/>
  </si>
  <si>
    <t>Avg Filled</t>
    <phoneticPr fontId="1" type="noConversion"/>
  </si>
  <si>
    <t>Mortgage</t>
    <phoneticPr fontId="1" type="noConversion"/>
  </si>
  <si>
    <t>Air/raft</t>
    <phoneticPr fontId="1" type="noConversion"/>
  </si>
  <si>
    <t>Cylinder</t>
    <phoneticPr fontId="1" type="noConversion"/>
  </si>
  <si>
    <t>Needle/Wedge</t>
    <phoneticPr fontId="1" type="noConversion"/>
  </si>
  <si>
    <t>Configuration</t>
    <phoneticPr fontId="1" type="noConversion"/>
  </si>
  <si>
    <t>Spinals</t>
    <phoneticPr fontId="1" type="noConversion"/>
  </si>
  <si>
    <t>L</t>
    <phoneticPr fontId="1" type="noConversion"/>
  </si>
  <si>
    <t>Cr</t>
    <phoneticPr fontId="1" type="noConversion"/>
  </si>
  <si>
    <t>Missile</t>
    <phoneticPr fontId="1" type="noConversion"/>
  </si>
  <si>
    <t>N Non-standard</t>
  </si>
  <si>
    <t>V Vehiche</t>
    <phoneticPr fontId="1" type="noConversion"/>
  </si>
  <si>
    <t>Y Yacht</t>
    <phoneticPr fontId="1" type="noConversion"/>
  </si>
  <si>
    <t>Q</t>
    <phoneticPr fontId="1" type="noConversion"/>
  </si>
  <si>
    <t>Time</t>
    <phoneticPr fontId="1" type="noConversion"/>
  </si>
  <si>
    <t>Ship Cost</t>
    <phoneticPr fontId="1" type="noConversion"/>
  </si>
  <si>
    <t>Engineering</t>
    <phoneticPr fontId="1" type="noConversion"/>
  </si>
  <si>
    <t>Q</t>
    <phoneticPr fontId="1" type="noConversion"/>
  </si>
  <si>
    <t>R</t>
    <phoneticPr fontId="1" type="noConversion"/>
  </si>
  <si>
    <t>T</t>
    <phoneticPr fontId="1" type="noConversion"/>
  </si>
  <si>
    <t>Desired</t>
    <phoneticPr fontId="1" type="noConversion"/>
  </si>
  <si>
    <t>Name</t>
    <phoneticPr fontId="1" type="noConversion"/>
  </si>
  <si>
    <t>Streamlined</t>
    <phoneticPr fontId="1" type="noConversion"/>
  </si>
  <si>
    <t>CostMod</t>
    <phoneticPr fontId="1" type="noConversion"/>
  </si>
  <si>
    <t>Gunners</t>
    <phoneticPr fontId="1" type="noConversion"/>
  </si>
  <si>
    <t>Cr</t>
    <phoneticPr fontId="1" type="noConversion"/>
  </si>
  <si>
    <t>BearNum</t>
    <phoneticPr fontId="1" type="noConversion"/>
  </si>
  <si>
    <t>Wpn Type</t>
    <phoneticPr fontId="1" type="noConversion"/>
  </si>
  <si>
    <t>Wpn Type</t>
    <phoneticPr fontId="1" type="noConversion"/>
  </si>
  <si>
    <t>Agility</t>
    <phoneticPr fontId="1" type="noConversion"/>
  </si>
  <si>
    <t>Power Plant</t>
    <phoneticPr fontId="1" type="noConversion"/>
  </si>
  <si>
    <t>Cost</t>
    <phoneticPr fontId="1" type="noConversion"/>
  </si>
  <si>
    <t>Jump Drive</t>
    <phoneticPr fontId="1" type="noConversion"/>
  </si>
  <si>
    <t>Wpn Batt</t>
    <phoneticPr fontId="1" type="noConversion"/>
  </si>
  <si>
    <t>Rows differ; only copy right</t>
    <phoneticPr fontId="1" type="noConversion"/>
  </si>
  <si>
    <t>MinComp</t>
    <phoneticPr fontId="1" type="noConversion"/>
  </si>
  <si>
    <t>Bearing</t>
    <phoneticPr fontId="1" type="noConversion"/>
  </si>
  <si>
    <t>Turret</t>
    <phoneticPr fontId="1" type="noConversion"/>
  </si>
  <si>
    <t>B Battle</t>
    <phoneticPr fontId="1" type="noConversion"/>
  </si>
  <si>
    <t>M Merchant</t>
    <phoneticPr fontId="1" type="noConversion"/>
  </si>
  <si>
    <t>A Merchant</t>
    <phoneticPr fontId="1" type="noConversion"/>
  </si>
  <si>
    <t>P Provincial</t>
    <phoneticPr fontId="1" type="noConversion"/>
  </si>
  <si>
    <t>Plasma</t>
    <phoneticPr fontId="1" type="noConversion"/>
  </si>
  <si>
    <t>Turret</t>
    <phoneticPr fontId="1" type="noConversion"/>
  </si>
  <si>
    <t>None</t>
    <phoneticPr fontId="1" type="noConversion"/>
  </si>
  <si>
    <t>Single</t>
    <phoneticPr fontId="1" type="noConversion"/>
  </si>
  <si>
    <t>Pulse</t>
    <phoneticPr fontId="1" type="noConversion"/>
  </si>
  <si>
    <t>X Express</t>
    <phoneticPr fontId="1" type="noConversion"/>
  </si>
  <si>
    <t>C Carrier</t>
    <phoneticPr fontId="1" type="noConversion"/>
  </si>
  <si>
    <t>Meson Screen</t>
    <phoneticPr fontId="1" type="noConversion"/>
  </si>
  <si>
    <t>USP</t>
    <phoneticPr fontId="1" type="noConversion"/>
  </si>
  <si>
    <t>Perf</t>
    <phoneticPr fontId="1" type="noConversion"/>
  </si>
  <si>
    <t>W</t>
    <phoneticPr fontId="1" type="noConversion"/>
  </si>
  <si>
    <t>kCr</t>
    <phoneticPr fontId="1" type="noConversion"/>
  </si>
  <si>
    <t>D</t>
    <phoneticPr fontId="1" type="noConversion"/>
  </si>
  <si>
    <t>E</t>
    <phoneticPr fontId="1" type="noConversion"/>
  </si>
  <si>
    <t>Fusion</t>
    <phoneticPr fontId="1" type="noConversion"/>
  </si>
  <si>
    <t>Sand</t>
    <phoneticPr fontId="1" type="noConversion"/>
  </si>
  <si>
    <t>Flattened Sphere</t>
    <phoneticPr fontId="1" type="noConversion"/>
  </si>
  <si>
    <t>Nuclear Damper</t>
    <phoneticPr fontId="1" type="noConversion"/>
  </si>
  <si>
    <t>J Intruder</t>
    <phoneticPr fontId="1" type="noConversion"/>
  </si>
  <si>
    <t>Carried Craft</t>
    <phoneticPr fontId="1" type="noConversion"/>
  </si>
  <si>
    <t>Monthly Mortgage</t>
    <phoneticPr fontId="1" type="noConversion"/>
  </si>
  <si>
    <t>Avg Filled Capacity</t>
    <phoneticPr fontId="1" type="noConversion"/>
  </si>
  <si>
    <t>PPn</t>
    <phoneticPr fontId="1" type="noConversion"/>
  </si>
  <si>
    <t>EP</t>
    <phoneticPr fontId="1" type="noConversion"/>
  </si>
  <si>
    <t>J</t>
    <phoneticPr fontId="1" type="noConversion"/>
  </si>
  <si>
    <t>1 000 Dt</t>
    <phoneticPr fontId="1" type="noConversion"/>
  </si>
  <si>
    <t>Craft</t>
    <phoneticPr fontId="1" type="noConversion"/>
  </si>
  <si>
    <t>kCr</t>
  </si>
  <si>
    <t>Fighter</t>
    <phoneticPr fontId="1" type="noConversion"/>
  </si>
  <si>
    <t>Down Payment</t>
  </si>
  <si>
    <t>Low</t>
    <phoneticPr fontId="1" type="noConversion"/>
  </si>
  <si>
    <t>People</t>
    <phoneticPr fontId="1" type="noConversion"/>
  </si>
  <si>
    <t>Capacity</t>
    <phoneticPr fontId="1" type="noConversion"/>
  </si>
  <si>
    <t>TLmod</t>
    <phoneticPr fontId="1" type="noConversion"/>
  </si>
  <si>
    <t>Middle</t>
  </si>
  <si>
    <t>Life Support</t>
  </si>
  <si>
    <t>kCr</t>
    <phoneticPr fontId="1" type="noConversion"/>
  </si>
  <si>
    <t>Invalid</t>
    <phoneticPr fontId="1" type="noConversion"/>
  </si>
  <si>
    <t>Fusion</t>
    <phoneticPr fontId="1" type="noConversion"/>
  </si>
  <si>
    <t>Particle</t>
    <phoneticPr fontId="1" type="noConversion"/>
  </si>
  <si>
    <t xml:space="preserve">   200 Dt</t>
    <phoneticPr fontId="1" type="noConversion"/>
  </si>
  <si>
    <t>J</t>
    <phoneticPr fontId="1" type="noConversion"/>
  </si>
  <si>
    <t>A</t>
    <phoneticPr fontId="1" type="noConversion"/>
  </si>
  <si>
    <t>R Raider</t>
    <phoneticPr fontId="1" type="noConversion"/>
  </si>
  <si>
    <t>Bridge</t>
    <phoneticPr fontId="1" type="noConversion"/>
  </si>
  <si>
    <t>1bis</t>
    <phoneticPr fontId="1" type="noConversion"/>
  </si>
  <si>
    <t>2bis</t>
    <phoneticPr fontId="1" type="noConversion"/>
  </si>
  <si>
    <t>Empty</t>
    <phoneticPr fontId="1" type="noConversion"/>
  </si>
  <si>
    <t>A</t>
    <phoneticPr fontId="1" type="noConversion"/>
  </si>
  <si>
    <t>B</t>
    <phoneticPr fontId="1" type="noConversion"/>
  </si>
  <si>
    <t xml:space="preserve">K </t>
    <phoneticPr fontId="1" type="noConversion"/>
  </si>
  <si>
    <t xml:space="preserve">X </t>
    <phoneticPr fontId="1" type="noConversion"/>
  </si>
  <si>
    <t xml:space="preserve">W </t>
    <phoneticPr fontId="1" type="noConversion"/>
  </si>
  <si>
    <t>Drive Potential - Needed Drive</t>
    <phoneticPr fontId="1" type="noConversion"/>
  </si>
  <si>
    <t>Column Control Sum:</t>
    <phoneticPr fontId="1" type="noConversion"/>
  </si>
  <si>
    <t>G Refinery</t>
    <phoneticPr fontId="1" type="noConversion"/>
  </si>
  <si>
    <t>Purifier</t>
    <phoneticPr fontId="1" type="noConversion"/>
  </si>
  <si>
    <t>F</t>
    <phoneticPr fontId="1" type="noConversion"/>
  </si>
  <si>
    <t>Particle Barbette</t>
    <phoneticPr fontId="1" type="noConversion"/>
  </si>
  <si>
    <t>PP Fuel</t>
    <phoneticPr fontId="1" type="noConversion"/>
  </si>
  <si>
    <t>Custom</t>
  </si>
  <si>
    <t>M Missile</t>
    <phoneticPr fontId="1" type="noConversion"/>
  </si>
  <si>
    <t>Q Auxiliary</t>
    <phoneticPr fontId="1" type="noConversion"/>
  </si>
  <si>
    <t>C</t>
    <phoneticPr fontId="1" type="noConversion"/>
  </si>
  <si>
    <t>Standard</t>
    <phoneticPr fontId="1" type="noConversion"/>
  </si>
  <si>
    <t>Y Cutter</t>
    <phoneticPr fontId="1" type="noConversion"/>
  </si>
  <si>
    <t>Low Berths</t>
    <phoneticPr fontId="1" type="noConversion"/>
  </si>
  <si>
    <t>Demountable Tanks</t>
    <phoneticPr fontId="1" type="noConversion"/>
  </si>
  <si>
    <t>bis / fib</t>
    <phoneticPr fontId="1" type="noConversion"/>
  </si>
  <si>
    <t>L Corvette</t>
    <phoneticPr fontId="1" type="noConversion"/>
  </si>
  <si>
    <t>L Leader</t>
    <phoneticPr fontId="1" type="noConversion"/>
  </si>
  <si>
    <t>Double</t>
    <phoneticPr fontId="1" type="noConversion"/>
  </si>
  <si>
    <t>Triple</t>
    <phoneticPr fontId="1" type="noConversion"/>
  </si>
  <si>
    <t>B Boat</t>
    <phoneticPr fontId="1" type="noConversion"/>
  </si>
  <si>
    <t/>
  </si>
  <si>
    <t>Mid</t>
    <phoneticPr fontId="1" type="noConversion"/>
  </si>
  <si>
    <t># of Comps</t>
    <phoneticPr fontId="1" type="noConversion"/>
  </si>
  <si>
    <t>Invalid:</t>
    <phoneticPr fontId="1" type="noConversion"/>
  </si>
  <si>
    <t>Q Auxiliary</t>
  </si>
  <si>
    <t>K</t>
    <phoneticPr fontId="1" type="noConversion"/>
  </si>
  <si>
    <t>Particle</t>
    <phoneticPr fontId="1" type="noConversion"/>
  </si>
  <si>
    <t>Meson</t>
    <phoneticPr fontId="1" type="noConversion"/>
  </si>
  <si>
    <t>Configuration</t>
    <phoneticPr fontId="1" type="noConversion"/>
  </si>
  <si>
    <t>Scoops</t>
    <phoneticPr fontId="1" type="noConversion"/>
  </si>
  <si>
    <t>Drop Tanks</t>
    <phoneticPr fontId="1" type="noConversion"/>
  </si>
  <si>
    <t>Jump Drive</t>
    <phoneticPr fontId="1" type="noConversion"/>
  </si>
  <si>
    <t>TL</t>
    <phoneticPr fontId="1" type="noConversion"/>
  </si>
  <si>
    <t>Purifier</t>
    <phoneticPr fontId="1" type="noConversion"/>
  </si>
  <si>
    <t>Pinnace</t>
    <phoneticPr fontId="1" type="noConversion"/>
  </si>
  <si>
    <t>MinSize</t>
    <phoneticPr fontId="1" type="noConversion"/>
  </si>
  <si>
    <t>Bridge</t>
    <phoneticPr fontId="1" type="noConversion"/>
  </si>
  <si>
    <t>Leave blank except for computers</t>
    <phoneticPr fontId="1" type="noConversion"/>
  </si>
  <si>
    <t>Z Experimental</t>
    <phoneticPr fontId="1" type="noConversion"/>
  </si>
  <si>
    <t>Fusion</t>
  </si>
  <si>
    <t>Sand</t>
  </si>
  <si>
    <t>Pulse</t>
    <phoneticPr fontId="1" type="noConversion"/>
  </si>
  <si>
    <t>Invalid mount</t>
    <phoneticPr fontId="1" type="noConversion"/>
  </si>
  <si>
    <t>Wpn Batt</t>
    <phoneticPr fontId="1" type="noConversion"/>
  </si>
  <si>
    <t>A Armoured</t>
    <phoneticPr fontId="1" type="noConversion"/>
  </si>
  <si>
    <t>batteries</t>
    <phoneticPr fontId="1" type="noConversion"/>
  </si>
  <si>
    <t>BBCode:</t>
    <phoneticPr fontId="1" type="noConversion"/>
  </si>
  <si>
    <t>None</t>
  </si>
  <si>
    <t>EP</t>
    <phoneticPr fontId="1" type="noConversion"/>
  </si>
  <si>
    <t xml:space="preserve">   800 Dt</t>
    <phoneticPr fontId="1" type="noConversion"/>
  </si>
  <si>
    <t xml:space="preserve">   600 Dt</t>
    <phoneticPr fontId="1" type="noConversion"/>
  </si>
  <si>
    <t xml:space="preserve">   400 Dt</t>
    <phoneticPr fontId="1" type="noConversion"/>
  </si>
  <si>
    <t>B Battle</t>
    <phoneticPr fontId="1" type="noConversion"/>
  </si>
  <si>
    <t>U</t>
    <phoneticPr fontId="1" type="noConversion"/>
  </si>
  <si>
    <t>V</t>
    <phoneticPr fontId="1" type="noConversion"/>
  </si>
  <si>
    <t>X</t>
    <phoneticPr fontId="1" type="noConversion"/>
  </si>
  <si>
    <t>Y</t>
    <phoneticPr fontId="1" type="noConversion"/>
  </si>
  <si>
    <t>Z</t>
    <phoneticPr fontId="1" type="noConversion"/>
  </si>
  <si>
    <t>G</t>
    <phoneticPr fontId="1" type="noConversion"/>
  </si>
  <si>
    <t>Size</t>
    <phoneticPr fontId="1" type="noConversion"/>
  </si>
  <si>
    <t>Cost</t>
  </si>
  <si>
    <t>Beam</t>
  </si>
  <si>
    <t>Standard Drives</t>
    <phoneticPr fontId="1" type="noConversion"/>
  </si>
  <si>
    <t>Size</t>
  </si>
  <si>
    <t>Jump</t>
    <phoneticPr fontId="1" type="noConversion"/>
  </si>
  <si>
    <t>Computer</t>
    <phoneticPr fontId="1" type="noConversion"/>
  </si>
  <si>
    <t>Dton</t>
    <phoneticPr fontId="1" type="noConversion"/>
  </si>
  <si>
    <t>Speeder</t>
    <phoneticPr fontId="1" type="noConversion"/>
  </si>
  <si>
    <t>U</t>
    <phoneticPr fontId="1" type="noConversion"/>
  </si>
  <si>
    <t>V</t>
    <phoneticPr fontId="1" type="noConversion"/>
  </si>
  <si>
    <t>EP</t>
  </si>
  <si>
    <t>Missile</t>
    <phoneticPr fontId="1" type="noConversion"/>
  </si>
  <si>
    <t>Fixed</t>
    <phoneticPr fontId="1" type="noConversion"/>
  </si>
  <si>
    <t>Revenue</t>
    <phoneticPr fontId="1" type="noConversion"/>
  </si>
  <si>
    <t>Wpn Batt</t>
    <phoneticPr fontId="1" type="noConversion"/>
  </si>
  <si>
    <t>TL avail</t>
    <phoneticPr fontId="1" type="noConversion"/>
  </si>
  <si>
    <t>Needed EP</t>
    <phoneticPr fontId="1" type="noConversion"/>
  </si>
  <si>
    <t>M</t>
    <phoneticPr fontId="1" type="noConversion"/>
  </si>
  <si>
    <t>Custom</t>
    <phoneticPr fontId="1" type="noConversion"/>
  </si>
  <si>
    <t>G Gig</t>
    <phoneticPr fontId="1" type="noConversion"/>
  </si>
  <si>
    <t>S Strike</t>
    <phoneticPr fontId="1" type="noConversion"/>
  </si>
  <si>
    <t>T Tanker</t>
    <phoneticPr fontId="1" type="noConversion"/>
  </si>
  <si>
    <t>Particle Barbette</t>
    <phoneticPr fontId="1" type="noConversion"/>
  </si>
  <si>
    <t>Particle Barbette</t>
    <phoneticPr fontId="1" type="noConversion"/>
  </si>
  <si>
    <t>Cr</t>
    <phoneticPr fontId="1" type="noConversion"/>
  </si>
  <si>
    <t>W Barge</t>
    <phoneticPr fontId="1" type="noConversion"/>
  </si>
  <si>
    <t>Batt</t>
    <phoneticPr fontId="1" type="noConversion"/>
  </si>
  <si>
    <t>S</t>
    <phoneticPr fontId="1" type="noConversion"/>
  </si>
  <si>
    <t>Cr</t>
    <phoneticPr fontId="1" type="noConversion"/>
  </si>
  <si>
    <t>T Transport</t>
    <phoneticPr fontId="1" type="noConversion"/>
  </si>
  <si>
    <t>Wpn Batt</t>
    <phoneticPr fontId="1" type="noConversion"/>
  </si>
  <si>
    <t>Bearing%</t>
    <phoneticPr fontId="1" type="noConversion"/>
  </si>
  <si>
    <t>N</t>
    <phoneticPr fontId="1" type="noConversion"/>
  </si>
  <si>
    <t>P</t>
    <phoneticPr fontId="1" type="noConversion"/>
  </si>
  <si>
    <t>USP</t>
    <phoneticPr fontId="1" type="noConversion"/>
  </si>
  <si>
    <t>TL</t>
    <phoneticPr fontId="1" type="noConversion"/>
  </si>
  <si>
    <t>%</t>
    <phoneticPr fontId="1" type="noConversion"/>
  </si>
  <si>
    <t>Std Rati</t>
    <phoneticPr fontId="1" type="noConversion"/>
  </si>
  <si>
    <t>ATV</t>
    <phoneticPr fontId="1" type="noConversion"/>
  </si>
  <si>
    <t>AFV</t>
    <phoneticPr fontId="1" type="noConversion"/>
  </si>
  <si>
    <t>G</t>
    <phoneticPr fontId="1" type="noConversion"/>
  </si>
  <si>
    <t>Slow Boat</t>
    <phoneticPr fontId="1" type="noConversion"/>
  </si>
  <si>
    <t>Fixed</t>
    <phoneticPr fontId="1" type="noConversion"/>
  </si>
  <si>
    <t>Mount</t>
    <phoneticPr fontId="1" type="noConversion"/>
  </si>
  <si>
    <t>Cost</t>
    <phoneticPr fontId="1" type="noConversion"/>
  </si>
  <si>
    <t>Sphere</t>
    <phoneticPr fontId="1" type="noConversion"/>
  </si>
  <si>
    <t>Needed berths:</t>
    <phoneticPr fontId="1" type="noConversion"/>
  </si>
  <si>
    <t>S</t>
    <phoneticPr fontId="1" type="noConversion"/>
  </si>
  <si>
    <t>Summa</t>
  </si>
  <si>
    <t>H</t>
    <phoneticPr fontId="1" type="noConversion"/>
  </si>
  <si>
    <t>InteriorCost</t>
    <phoneticPr fontId="1" type="noConversion"/>
  </si>
  <si>
    <t>AddArmour</t>
    <phoneticPr fontId="1" type="noConversion"/>
  </si>
  <si>
    <t>K</t>
    <phoneticPr fontId="1" type="noConversion"/>
  </si>
  <si>
    <t>L</t>
    <phoneticPr fontId="1" type="noConversion"/>
  </si>
  <si>
    <t>Low</t>
  </si>
  <si>
    <t>USP</t>
  </si>
  <si>
    <t>MaxTurr</t>
    <phoneticPr fontId="1" type="noConversion"/>
  </si>
  <si>
    <t>U Unpowered</t>
    <phoneticPr fontId="1" type="noConversion"/>
  </si>
  <si>
    <t>Black Globe</t>
    <phoneticPr fontId="1" type="noConversion"/>
  </si>
  <si>
    <t>Custom</t>
    <phoneticPr fontId="1" type="noConversion"/>
  </si>
  <si>
    <t>Service</t>
    <phoneticPr fontId="1" type="noConversion"/>
  </si>
  <si>
    <t>Marines</t>
    <phoneticPr fontId="1" type="noConversion"/>
  </si>
  <si>
    <t>Flight</t>
    <phoneticPr fontId="1" type="noConversion"/>
  </si>
  <si>
    <t>Engineers</t>
    <phoneticPr fontId="1" type="noConversion"/>
  </si>
  <si>
    <t>Gig</t>
    <phoneticPr fontId="1" type="noConversion"/>
  </si>
  <si>
    <t>Size</t>
    <phoneticPr fontId="1" type="noConversion"/>
  </si>
  <si>
    <t>Fixed Mount</t>
    <phoneticPr fontId="1" type="noConversion"/>
  </si>
  <si>
    <t>Sum:</t>
    <phoneticPr fontId="1" type="noConversion"/>
  </si>
  <si>
    <t>Valid</t>
    <phoneticPr fontId="1" type="noConversion"/>
  </si>
  <si>
    <t>Close Structure</t>
    <phoneticPr fontId="1" type="noConversion"/>
  </si>
  <si>
    <t>F Fast</t>
    <phoneticPr fontId="1" type="noConversion"/>
  </si>
  <si>
    <t>Salaries</t>
  </si>
  <si>
    <t>Extra SR</t>
    <phoneticPr fontId="1" type="noConversion"/>
  </si>
  <si>
    <t>Bank</t>
  </si>
  <si>
    <t>Fuel</t>
  </si>
  <si>
    <t>T Troop</t>
    <phoneticPr fontId="1" type="noConversion"/>
  </si>
  <si>
    <t>Launch Tube</t>
    <phoneticPr fontId="1" type="noConversion"/>
  </si>
  <si>
    <t>Income potential per jump</t>
    <phoneticPr fontId="1" type="noConversion"/>
  </si>
  <si>
    <t>Partial</t>
    <phoneticPr fontId="1" type="noConversion"/>
  </si>
  <si>
    <t>D Destroyer</t>
    <phoneticPr fontId="1" type="noConversion"/>
  </si>
  <si>
    <t>bearing</t>
    <phoneticPr fontId="1" type="noConversion"/>
  </si>
  <si>
    <t xml:space="preserve">N </t>
    <phoneticPr fontId="1" type="noConversion"/>
  </si>
  <si>
    <t xml:space="preserve">O </t>
    <phoneticPr fontId="1" type="noConversion"/>
  </si>
  <si>
    <t xml:space="preserve">U </t>
    <phoneticPr fontId="1" type="noConversion"/>
  </si>
  <si>
    <t>Collapsible Tanks</t>
    <phoneticPr fontId="1" type="noConversion"/>
  </si>
  <si>
    <t>Wpn Type</t>
    <phoneticPr fontId="1" type="noConversion"/>
  </si>
  <si>
    <t>I Intruder</t>
    <phoneticPr fontId="1" type="noConversion"/>
  </si>
  <si>
    <t>Maintenance</t>
  </si>
  <si>
    <t>Berthing</t>
  </si>
  <si>
    <t>Empty hardpoint</t>
    <phoneticPr fontId="1" type="noConversion"/>
  </si>
  <si>
    <t>C Cruiser</t>
    <phoneticPr fontId="1" type="noConversion"/>
  </si>
  <si>
    <t>High</t>
  </si>
  <si>
    <t>Estimated Economy of Ship</t>
    <phoneticPr fontId="1" type="noConversion"/>
  </si>
  <si>
    <t>N</t>
    <phoneticPr fontId="1" type="noConversion"/>
  </si>
  <si>
    <t>P</t>
    <phoneticPr fontId="1" type="noConversion"/>
  </si>
  <si>
    <t>Planetoid</t>
    <phoneticPr fontId="1" type="noConversion"/>
  </si>
  <si>
    <t>Buffered Planetoid</t>
    <phoneticPr fontId="1" type="noConversion"/>
  </si>
  <si>
    <t>Q Decoy</t>
    <phoneticPr fontId="1" type="noConversion"/>
  </si>
  <si>
    <t>Ship price</t>
    <phoneticPr fontId="1" type="noConversion"/>
  </si>
</sst>
</file>

<file path=xl/styles.xml><?xml version="1.0" encoding="utf-8"?>
<styleSheet xmlns="http://schemas.openxmlformats.org/spreadsheetml/2006/main">
  <numFmts count="63">
    <numFmt numFmtId="164" formatCode="#,###,##0"/>
    <numFmt numFmtId="165" formatCode="#,###,##0.00"/>
    <numFmt numFmtId="166" formatCode="0.0"/>
    <numFmt numFmtId="167" formatCode="#,###,##0.0;[Red]\-#\ ###\ ##0.0;"/>
    <numFmt numFmtId="168" formatCode="&quot;Military &quot;0;&quot;Military &quot;\-0;&quot;Civilian &quot;0"/>
    <numFmt numFmtId="169" formatCode="\+0%;\-0%;\±0%"/>
    <numFmt numFmtId="170" formatCode="#,##0.000\ 000"/>
    <numFmt numFmtId="171" formatCode="&quot;TL &quot;0"/>
    <numFmt numFmtId="172" formatCode="[Green]#,###,##0;[Red]\-#\ ###\ ##0;[Green]0"/>
    <numFmt numFmtId="173" formatCode="&quot;Ag=&quot;0"/>
    <numFmt numFmtId="174" formatCode="#,###,##0;[Red]\-#\ ###\ ##0;"/>
    <numFmt numFmtId="175" formatCode="&quot;≤ &quot;0.0"/>
    <numFmt numFmtId="176" formatCode="&quot;≥ &quot;0.0"/>
    <numFmt numFmtId="177" formatCode="&quot;≥ &quot;0.00"/>
    <numFmt numFmtId="178" formatCode="#,###,##0;\-#\ ###\ ##0;"/>
    <numFmt numFmtId="179" formatCode="#,###,##0&quot; EP&quot;;[Red]\-#\ ###\ ##0.0;"/>
    <numFmt numFmtId="180" formatCode="0&quot; slots&quot;;[Red]\-0&quot; slots&quot;;[Green]&quot;Full&quot;"/>
    <numFmt numFmtId="181" formatCode="&quot;MCr &quot;#,##0.00"/>
    <numFmt numFmtId="182" formatCode="&quot;Crew=&quot;#,##0"/>
    <numFmt numFmtId="183" formatCode="&quot;TL=&quot;0"/>
    <numFmt numFmtId="184" formatCode="&quot;J-&quot;#,##0"/>
    <numFmt numFmtId="185" formatCode="&quot;M-&quot;#,##0"/>
    <numFmt numFmtId="186" formatCode="&quot;Ag-&quot;#,##0"/>
    <numFmt numFmtId="187" formatCode="&quot;Ag=&quot;0;&quot;Ag=&quot;\-0;&quot;Ag=&quot;0"/>
    <numFmt numFmtId="188" formatCode="#,###,##0.0;[Blue]\-#\ ###\ ##0.0;"/>
    <numFmt numFmtId="189" formatCode="&quot;fib&quot;;&quot;bis&quot;;&quot;&quot;"/>
    <numFmt numFmtId="190" formatCode="#,##0&quot; weeks&quot;"/>
    <numFmt numFmtId="191" formatCode="#,##0&quot; Dt&quot;"/>
    <numFmt numFmtId="192" formatCode="#,##0&quot; Dtons&quot;"/>
    <numFmt numFmtId="193" formatCode="[Green]#,###,##0.0;[Red]\-#\ ###\ ##0.0;[Green]0"/>
    <numFmt numFmtId="194" formatCode="&quot;kCr &quot;#,##0;[Red]&quot;kCr &quot;\-#,##0;&quot;kCr &quot;#,##0"/>
    <numFmt numFmtId="195" formatCode="0.0%;[Red]\-0.0%;0.0%"/>
    <numFmt numFmtId="196" formatCode="&quot;Dual occ&quot;;&quot;Single occ&quot;;&quot;Single occ&quot;"/>
    <numFmt numFmtId="197" formatCode="0;\-0;"/>
    <numFmt numFmtId="198" formatCode="#,##0.000\ 000;\-0;0"/>
    <numFmt numFmtId="199" formatCode="#\ ##0;\-#\ ##0;"/>
    <numFmt numFmtId="200" formatCode="&quot;J-&quot;#,##0;;"/>
    <numFmt numFmtId="201" formatCode="#,###,##0;[Red]\-0;"/>
    <numFmt numFmtId="202" formatCode="[Red]&quot;Spinal&quot;;&quot;Spinal&quot;;&quot;Spinal&quot;"/>
    <numFmt numFmtId="203" formatCode="[Red]&quot;Bay&quot;;&quot;Bay&quot;;&quot;Bay&quot;"/>
    <numFmt numFmtId="204" formatCode="[Red]&quot;Turret&quot;;&quot;Turret&quot;;&quot;Turret&quot;"/>
    <numFmt numFmtId="205" formatCode="[Red]&quot;    Weapon&quot;;&quot;    Weapon&quot;;&quot;    Weapon&quot;"/>
    <numFmt numFmtId="206" formatCode="[Red]&quot;Mixed Turret&quot;;&quot;Mixed Turret&quot;;&quot;Mixed Turret&quot;"/>
    <numFmt numFmtId="207" formatCode="[Red]&quot;Fixed Mount&quot;;&quot;Fixed Mount&quot;;&quot;Fixed Mount&quot;"/>
    <numFmt numFmtId="208" formatCode="[Red]&quot;Hull&quot;;&quot;Hull&quot;;&quot;Hull&quot;"/>
    <numFmt numFmtId="209" formatCode="&quot;Hardp&quot;;[Red]&quot;Hardp&quot;;&quot;Hardp&quot;"/>
    <numFmt numFmtId="210" formatCode="&quot;EP&quot;;[Red]&quot;EP&quot;;&quot;EP&quot;"/>
    <numFmt numFmtId="211" formatCode="&quot;Cost&quot;;[Red]&quot;Cost&quot;;&quot;Cost&quot;"/>
    <numFmt numFmtId="212" formatCode="&quot;Dton&quot;;[Red]&quot;Dton&quot;;&quot;Dton&quot;"/>
    <numFmt numFmtId="213" formatCode="&quot;≥ &quot;0"/>
    <numFmt numFmtId="214" formatCode="&quot;≤ &quot;0"/>
    <numFmt numFmtId="215" formatCode="[Red]&quot;Jump Drive&quot;;&quot;Jump Drive&quot;;&quot;Jump Drive&quot;"/>
    <numFmt numFmtId="216" formatCode="[Red]&quot;Manœuvre D&quot;;&quot;Manœuvre D&quot;;&quot;Manœuvre D&quot;"/>
    <numFmt numFmtId="217" formatCode="[Red]&quot;Agility&quot;;&quot;Agility&quot;;&quot;Agility&quot;"/>
    <numFmt numFmtId="218" formatCode="[Red]&quot;Power Plant&quot;;&quot;Power Plant&quot;;&quot;Power Plant&quot;"/>
    <numFmt numFmtId="219" formatCode="#,##0&quot; Dt&quot;;[Red]#,##0&quot; Dt&quot;;"/>
    <numFmt numFmtId="220" formatCode="&quot;StdDriveTL&quot;;&quot;StdDrive¬TL&quot;;&quot;StdDrive¬TL&quot;"/>
    <numFmt numFmtId="221" formatCode="[Red]&quot;TL&quot;;&quot;TL&quot;;&quot;TL&quot;"/>
    <numFmt numFmtId="222" formatCode="&quot;Engineering&quot;;[Red]&quot;Engineering&quot;;&quot;Engineering&quot;"/>
    <numFmt numFmtId="223" formatCode="&quot;LBB2 &quot;0;&quot;LBB5 &quot;\-0;&quot;LBB5 &quot;0"/>
    <numFmt numFmtId="224" formatCode="&quot;J-&quot;#,##0;[Red]&quot;J-&quot;#,##0;"/>
    <numFmt numFmtId="225" formatCode="#,###,##0;&quot;No ton&quot;;0"/>
    <numFmt numFmtId="226" formatCode="[Red]&quot;Computer&quot;;&quot;BackupComp&quot;;&quot;Computer&quot;"/>
  </numFmts>
  <fonts count="9">
    <font>
      <sz val="9"/>
      <name val="Geneva"/>
    </font>
    <font>
      <sz val="8"/>
      <name val="Verdana"/>
    </font>
    <font>
      <sz val="12"/>
      <name val="Monaco"/>
    </font>
    <font>
      <b/>
      <sz val="9"/>
      <name val="Verdana"/>
    </font>
    <font>
      <sz val="9"/>
      <name val="Verdana"/>
    </font>
    <font>
      <sz val="9"/>
      <name val="Courier"/>
    </font>
    <font>
      <b/>
      <sz val="8"/>
      <name val="Verdana"/>
    </font>
    <font>
      <sz val="8"/>
      <color indexed="22"/>
      <name val="Verdana"/>
    </font>
    <font>
      <sz val="8"/>
      <name val="Lucida Console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181" fontId="2" fillId="0" borderId="0" xfId="0" applyNumberFormat="1" applyFont="1" applyAlignment="1">
      <alignment horizontal="right"/>
    </xf>
    <xf numFmtId="182" fontId="2" fillId="0" borderId="0" xfId="0" applyNumberFormat="1" applyFont="1"/>
    <xf numFmtId="183" fontId="2" fillId="0" borderId="0" xfId="0" applyNumberFormat="1" applyFont="1"/>
    <xf numFmtId="0" fontId="2" fillId="0" borderId="0" xfId="0" applyFont="1" applyAlignment="1">
      <alignment horizontal="left"/>
    </xf>
    <xf numFmtId="192" fontId="2" fillId="0" borderId="0" xfId="0" applyNumberFormat="1" applyFont="1" applyAlignment="1">
      <alignment horizontal="righ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9" fontId="4" fillId="0" borderId="0" xfId="0" applyNumberFormat="1" applyFont="1"/>
    <xf numFmtId="0" fontId="4" fillId="0" borderId="0" xfId="0" applyFont="1" applyAlignment="1">
      <alignment horizontal="right"/>
    </xf>
    <xf numFmtId="10" fontId="4" fillId="0" borderId="0" xfId="0" applyNumberFormat="1" applyFont="1"/>
    <xf numFmtId="0" fontId="4" fillId="0" borderId="0" xfId="0" applyFont="1" applyAlignment="1">
      <alignment horizontal="left" indent="4"/>
    </xf>
    <xf numFmtId="171" fontId="6" fillId="2" borderId="0" xfId="0" applyNumberFormat="1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8" fontId="6" fillId="2" borderId="0" xfId="0" applyNumberFormat="1" applyFont="1" applyFill="1" applyAlignment="1">
      <alignment horizontal="center" vertical="center"/>
    </xf>
    <xf numFmtId="196" fontId="6" fillId="2" borderId="0" xfId="0" applyNumberFormat="1" applyFont="1" applyFill="1" applyAlignment="1">
      <alignment horizontal="center" vertical="center"/>
    </xf>
    <xf numFmtId="3" fontId="1" fillId="0" borderId="0" xfId="0" applyNumberFormat="1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Alignment="1">
      <alignment horizontal="left" vertical="center" indent="2"/>
    </xf>
    <xf numFmtId="0" fontId="6" fillId="0" borderId="0" xfId="0" applyFont="1" applyAlignment="1">
      <alignment vertical="center"/>
    </xf>
    <xf numFmtId="193" fontId="6" fillId="0" borderId="0" xfId="0" applyNumberFormat="1" applyFont="1" applyAlignment="1">
      <alignment vertical="center"/>
    </xf>
    <xf numFmtId="167" fontId="1" fillId="0" borderId="0" xfId="0" applyNumberFormat="1" applyFont="1" applyAlignment="1">
      <alignment vertical="center"/>
    </xf>
    <xf numFmtId="172" fontId="6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212" fontId="6" fillId="0" borderId="0" xfId="0" applyNumberFormat="1" applyFont="1" applyAlignment="1">
      <alignment horizontal="right" vertical="center"/>
    </xf>
    <xf numFmtId="211" fontId="6" fillId="0" borderId="0" xfId="0" applyNumberFormat="1" applyFont="1" applyAlignment="1">
      <alignment horizontal="right" vertical="center"/>
    </xf>
    <xf numFmtId="210" fontId="6" fillId="0" borderId="0" xfId="0" applyNumberFormat="1" applyFont="1" applyAlignment="1">
      <alignment horizontal="right" vertical="center"/>
    </xf>
    <xf numFmtId="209" fontId="6" fillId="0" borderId="0" xfId="0" applyNumberFormat="1" applyFont="1" applyAlignment="1">
      <alignment horizontal="right" vertical="center"/>
    </xf>
    <xf numFmtId="208" fontId="6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164" fontId="1" fillId="2" borderId="0" xfId="0" applyNumberFormat="1" applyFont="1" applyFill="1" applyAlignment="1">
      <alignment horizontal="right" vertical="center"/>
    </xf>
    <xf numFmtId="1" fontId="1" fillId="0" borderId="0" xfId="0" applyNumberFormat="1" applyFont="1" applyAlignment="1">
      <alignment horizontal="right" vertical="center"/>
    </xf>
    <xf numFmtId="188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9" fontId="1" fillId="0" borderId="0" xfId="0" applyNumberFormat="1" applyFont="1" applyAlignment="1">
      <alignment vertical="center"/>
    </xf>
    <xf numFmtId="169" fontId="1" fillId="0" borderId="0" xfId="0" applyNumberFormat="1" applyFont="1" applyAlignment="1">
      <alignment vertical="center"/>
    </xf>
    <xf numFmtId="198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vertical="center"/>
    </xf>
    <xf numFmtId="170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91" fontId="1" fillId="0" borderId="0" xfId="0" applyNumberFormat="1" applyFont="1" applyAlignment="1">
      <alignment vertical="center"/>
    </xf>
    <xf numFmtId="9" fontId="1" fillId="2" borderId="0" xfId="0" applyNumberFormat="1" applyFont="1" applyFill="1" applyAlignment="1">
      <alignment horizontal="right" vertical="center"/>
    </xf>
    <xf numFmtId="215" fontId="6" fillId="0" borderId="0" xfId="0" applyNumberFormat="1" applyFont="1" applyAlignment="1">
      <alignment horizontal="left" vertical="center"/>
    </xf>
    <xf numFmtId="199" fontId="1" fillId="2" borderId="0" xfId="0" applyNumberFormat="1" applyFont="1" applyFill="1" applyAlignment="1">
      <alignment horizontal="right" vertical="center"/>
    </xf>
    <xf numFmtId="200" fontId="1" fillId="2" borderId="0" xfId="0" applyNumberFormat="1" applyFont="1" applyFill="1" applyAlignment="1">
      <alignment horizontal="right" vertical="center"/>
    </xf>
    <xf numFmtId="0" fontId="1" fillId="0" borderId="0" xfId="0" applyFont="1" applyAlignment="1">
      <alignment horizontal="right" vertical="center"/>
    </xf>
    <xf numFmtId="216" fontId="6" fillId="0" borderId="0" xfId="0" applyNumberFormat="1" applyFont="1" applyAlignment="1">
      <alignment horizontal="left" vertical="center"/>
    </xf>
    <xf numFmtId="185" fontId="1" fillId="2" borderId="0" xfId="0" applyNumberFormat="1" applyFont="1" applyFill="1" applyAlignment="1">
      <alignment horizontal="right" vertical="center"/>
    </xf>
    <xf numFmtId="173" fontId="1" fillId="0" borderId="0" xfId="0" applyNumberFormat="1" applyFont="1" applyAlignment="1">
      <alignment vertical="center"/>
    </xf>
    <xf numFmtId="217" fontId="6" fillId="0" borderId="0" xfId="0" applyNumberFormat="1" applyFont="1" applyAlignment="1">
      <alignment horizontal="left" vertical="center"/>
    </xf>
    <xf numFmtId="187" fontId="1" fillId="0" borderId="0" xfId="0" applyNumberFormat="1" applyFont="1" applyAlignment="1">
      <alignment horizontal="left" vertical="center"/>
    </xf>
    <xf numFmtId="186" fontId="1" fillId="2" borderId="0" xfId="0" applyNumberFormat="1" applyFont="1" applyFill="1" applyAlignment="1">
      <alignment horizontal="right" vertical="center"/>
    </xf>
    <xf numFmtId="218" fontId="6" fillId="0" borderId="0" xfId="0" applyNumberFormat="1" applyFont="1" applyAlignment="1">
      <alignment horizontal="left" vertical="center"/>
    </xf>
    <xf numFmtId="166" fontId="1" fillId="0" borderId="0" xfId="0" applyNumberFormat="1" applyFont="1" applyAlignment="1">
      <alignment horizontal="right" vertical="center"/>
    </xf>
    <xf numFmtId="174" fontId="1" fillId="2" borderId="0" xfId="0" applyNumberFormat="1" applyFont="1" applyFill="1" applyAlignment="1">
      <alignment horizontal="right" vertical="center"/>
    </xf>
    <xf numFmtId="179" fontId="1" fillId="2" borderId="0" xfId="0" applyNumberFormat="1" applyFont="1" applyFill="1" applyAlignment="1">
      <alignment horizontal="right" vertical="center"/>
    </xf>
    <xf numFmtId="184" fontId="1" fillId="2" borderId="0" xfId="0" applyNumberFormat="1" applyFont="1" applyFill="1" applyAlignment="1">
      <alignment horizontal="right" vertical="center"/>
    </xf>
    <xf numFmtId="190" fontId="1" fillId="2" borderId="0" xfId="0" applyNumberFormat="1" applyFont="1" applyFill="1" applyAlignment="1">
      <alignment horizontal="right" vertical="center"/>
    </xf>
    <xf numFmtId="0" fontId="1" fillId="0" borderId="0" xfId="0" applyNumberFormat="1" applyFont="1" applyAlignment="1">
      <alignment vertical="center"/>
    </xf>
    <xf numFmtId="10" fontId="1" fillId="0" borderId="0" xfId="0" applyNumberFormat="1" applyFont="1" applyAlignment="1">
      <alignment vertical="center"/>
    </xf>
    <xf numFmtId="189" fontId="1" fillId="2" borderId="0" xfId="0" applyNumberFormat="1" applyFont="1" applyFill="1" applyAlignment="1">
      <alignment vertical="center"/>
    </xf>
    <xf numFmtId="214" fontId="1" fillId="0" borderId="0" xfId="0" applyNumberFormat="1" applyFont="1" applyAlignment="1">
      <alignment vertical="center"/>
    </xf>
    <xf numFmtId="177" fontId="1" fillId="0" borderId="0" xfId="0" applyNumberFormat="1" applyFont="1" applyAlignment="1">
      <alignment vertical="center"/>
    </xf>
    <xf numFmtId="213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175" fontId="1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219" fontId="1" fillId="2" borderId="0" xfId="0" applyNumberFormat="1" applyFont="1" applyFill="1" applyAlignment="1">
      <alignment vertical="center"/>
    </xf>
    <xf numFmtId="164" fontId="6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left" vertical="center"/>
    </xf>
    <xf numFmtId="202" fontId="6" fillId="0" borderId="0" xfId="0" applyNumberFormat="1" applyFont="1" applyAlignment="1">
      <alignment horizontal="left" vertical="center"/>
    </xf>
    <xf numFmtId="164" fontId="1" fillId="2" borderId="0" xfId="0" applyNumberFormat="1" applyFont="1" applyFill="1" applyAlignment="1">
      <alignment horizontal="left" vertical="center"/>
    </xf>
    <xf numFmtId="178" fontId="1" fillId="0" borderId="0" xfId="0" applyNumberFormat="1" applyFont="1" applyAlignment="1">
      <alignment vertical="center"/>
    </xf>
    <xf numFmtId="197" fontId="1" fillId="0" borderId="0" xfId="0" applyNumberFormat="1" applyFont="1" applyAlignment="1">
      <alignment vertical="center"/>
    </xf>
    <xf numFmtId="203" fontId="6" fillId="0" borderId="0" xfId="0" applyNumberFormat="1" applyFont="1" applyAlignment="1">
      <alignment horizontal="left" vertical="center"/>
    </xf>
    <xf numFmtId="204" fontId="6" fillId="0" borderId="0" xfId="0" applyNumberFormat="1" applyFont="1" applyAlignment="1">
      <alignment horizontal="left" vertical="center"/>
    </xf>
    <xf numFmtId="207" fontId="6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206" fontId="6" fillId="0" borderId="0" xfId="0" applyNumberFormat="1" applyFont="1" applyAlignment="1">
      <alignment horizontal="left" vertical="center"/>
    </xf>
    <xf numFmtId="180" fontId="1" fillId="0" borderId="0" xfId="0" applyNumberFormat="1" applyFont="1" applyAlignment="1">
      <alignment horizontal="left" vertical="center"/>
    </xf>
    <xf numFmtId="205" fontId="1" fillId="0" borderId="0" xfId="0" applyNumberFormat="1" applyFont="1" applyAlignment="1">
      <alignment horizontal="left" vertical="center"/>
    </xf>
    <xf numFmtId="165" fontId="1" fillId="0" borderId="0" xfId="0" applyNumberFormat="1" applyFont="1" applyAlignment="1">
      <alignment vertical="center"/>
    </xf>
    <xf numFmtId="201" fontId="1" fillId="2" borderId="0" xfId="0" applyNumberFormat="1" applyFont="1" applyFill="1" applyAlignment="1">
      <alignment horizontal="right" vertical="center"/>
    </xf>
    <xf numFmtId="1" fontId="6" fillId="0" borderId="0" xfId="0" applyNumberFormat="1" applyFont="1" applyAlignment="1">
      <alignment vertical="center"/>
    </xf>
    <xf numFmtId="165" fontId="6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181" fontId="1" fillId="0" borderId="0" xfId="0" applyNumberFormat="1" applyFont="1" applyAlignment="1">
      <alignment vertical="center"/>
    </xf>
    <xf numFmtId="9" fontId="1" fillId="2" borderId="0" xfId="0" applyNumberFormat="1" applyFont="1" applyFill="1" applyAlignment="1">
      <alignment vertical="center"/>
    </xf>
    <xf numFmtId="194" fontId="6" fillId="0" borderId="0" xfId="0" applyNumberFormat="1" applyFont="1" applyAlignment="1">
      <alignment vertical="center"/>
    </xf>
    <xf numFmtId="195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220" fontId="6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165" fontId="7" fillId="0" borderId="0" xfId="0" applyNumberFormat="1" applyFont="1" applyAlignment="1">
      <alignment vertical="center"/>
    </xf>
    <xf numFmtId="221" fontId="6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85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167" fontId="8" fillId="0" borderId="0" xfId="0" applyNumberFormat="1" applyFont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2" fontId="8" fillId="0" borderId="0" xfId="0" applyNumberFormat="1" applyFont="1" applyAlignment="1">
      <alignment vertical="center"/>
    </xf>
    <xf numFmtId="181" fontId="8" fillId="0" borderId="0" xfId="0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9" fontId="8" fillId="0" borderId="0" xfId="0" applyNumberFormat="1" applyFont="1" applyAlignment="1">
      <alignment horizontal="right" vertical="center"/>
    </xf>
    <xf numFmtId="222" fontId="6" fillId="0" borderId="0" xfId="0" applyNumberFormat="1" applyFont="1" applyAlignment="1">
      <alignment horizontal="left" vertical="center"/>
    </xf>
    <xf numFmtId="223" fontId="6" fillId="2" borderId="0" xfId="0" applyNumberFormat="1" applyFont="1" applyFill="1" applyAlignment="1">
      <alignment horizontal="center" vertical="center"/>
    </xf>
    <xf numFmtId="224" fontId="1" fillId="2" borderId="0" xfId="0" applyNumberFormat="1" applyFont="1" applyFill="1" applyAlignment="1">
      <alignment horizontal="right" vertical="center"/>
    </xf>
    <xf numFmtId="225" fontId="1" fillId="2" borderId="0" xfId="0" applyNumberFormat="1" applyFont="1" applyFill="1" applyAlignment="1">
      <alignment horizontal="right" vertical="center"/>
    </xf>
    <xf numFmtId="226" fontId="6" fillId="0" borderId="0" xfId="0" applyNumberFormat="1" applyFont="1" applyAlignment="1">
      <alignment horizontal="left"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right" vertical="center"/>
    </xf>
    <xf numFmtId="164" fontId="6" fillId="3" borderId="0" xfId="0" applyNumberFormat="1" applyFont="1" applyFill="1" applyAlignment="1">
      <alignment vertical="center"/>
    </xf>
    <xf numFmtId="197" fontId="1" fillId="3" borderId="0" xfId="0" applyNumberFormat="1" applyFont="1" applyFill="1" applyAlignment="1">
      <alignment vertical="center"/>
    </xf>
    <xf numFmtId="3" fontId="1" fillId="2" borderId="0" xfId="0" applyNumberFormat="1" applyFont="1" applyFill="1" applyAlignment="1">
      <alignment vertical="center"/>
    </xf>
  </cellXfs>
  <cellStyles count="1">
    <cellStyle name="Normal" xfId="0" builtinId="0"/>
  </cellStyles>
  <dxfs count="4">
    <dxf>
      <font>
        <condense val="0"/>
        <extend val="0"/>
        <color indexed="25"/>
      </font>
    </dxf>
    <dxf>
      <font>
        <b/>
        <i val="0"/>
        <condense val="0"/>
        <extend val="0"/>
        <color indexed="25"/>
      </font>
    </dxf>
    <dxf>
      <font>
        <condense val="0"/>
        <extend val="0"/>
        <color indexed="25"/>
      </font>
    </dxf>
    <dxf>
      <font>
        <condense val="0"/>
        <extend val="0"/>
        <color indexed="25"/>
      </font>
    </dxf>
  </dxfs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CO113"/>
  <sheetViews>
    <sheetView tabSelected="1" zoomScale="150" workbookViewId="0">
      <pane ySplit="2500" topLeftCell="A8"/>
      <selection activeCell="A2" sqref="A2"/>
      <selection pane="bottomLeft" activeCell="CO17" sqref="CO17"/>
    </sheetView>
  </sheetViews>
  <sheetFormatPr baseColWidth="10" defaultColWidth="4.83203125" defaultRowHeight="10" customHeight="1"/>
  <cols>
    <col min="1" max="1" width="10.6640625" style="16" customWidth="1"/>
    <col min="2" max="2" width="8.6640625" style="16" customWidth="1"/>
    <col min="3" max="3" width="3.83203125" style="16" customWidth="1"/>
    <col min="4" max="4" width="7.83203125" style="16" customWidth="1"/>
    <col min="5" max="5" width="3.6640625" style="16" customWidth="1"/>
    <col min="6" max="6" width="3.83203125" style="16" customWidth="1"/>
    <col min="7" max="8" width="9.33203125" style="16" customWidth="1"/>
    <col min="9" max="9" width="7.83203125" style="16" customWidth="1"/>
    <col min="10" max="11" width="5.83203125" style="16" customWidth="1"/>
    <col min="12" max="12" width="3.83203125" style="16" customWidth="1"/>
    <col min="13" max="18" width="10.6640625" style="16" customWidth="1"/>
    <col min="19" max="20" width="10.83203125" style="116" customWidth="1"/>
    <col min="21" max="21" width="8.83203125" style="116" customWidth="1"/>
    <col min="22" max="24" width="4.83203125" style="116" customWidth="1"/>
    <col min="25" max="31" width="4.83203125" style="117" customWidth="1"/>
    <col min="32" max="33" width="4.83203125" style="116" customWidth="1"/>
    <col min="34" max="34" width="4.83203125" style="16"/>
    <col min="35" max="37" width="6.83203125" style="16" customWidth="1"/>
    <col min="38" max="38" width="7.83203125" style="16" customWidth="1"/>
    <col min="39" max="52" width="6.83203125" style="16" customWidth="1"/>
    <col min="53" max="62" width="4.83203125" style="16" customWidth="1"/>
    <col min="63" max="63" width="4.83203125" style="132" customWidth="1"/>
    <col min="64" max="70" width="4.83203125" style="16" customWidth="1"/>
    <col min="71" max="71" width="4.83203125" style="132" customWidth="1"/>
    <col min="72" max="72" width="4.83203125" style="16" customWidth="1"/>
    <col min="73" max="73" width="4.83203125" style="110" customWidth="1"/>
    <col min="74" max="74" width="4.83203125" style="16" customWidth="1"/>
    <col min="75" max="82" width="4.83203125" style="110" customWidth="1"/>
    <col min="83" max="90" width="4.83203125" style="16" customWidth="1"/>
    <col min="91" max="91" width="4.83203125" style="16"/>
    <col min="92" max="92" width="4.83203125" style="132"/>
    <col min="93" max="93" width="4.6640625" style="16" customWidth="1"/>
    <col min="94" max="16384" width="4.83203125" style="16"/>
  </cols>
  <sheetData>
    <row r="1" spans="1:93" ht="10" customHeight="1">
      <c r="A1" s="115"/>
      <c r="B1" s="50" t="str">
        <f xml:space="preserve"> IF( C1&lt;&gt;"", "w/o drop tanks:  ", "" )</f>
        <v/>
      </c>
      <c r="C1" s="17" t="str">
        <f xml:space="preserve">  IF( Hull&lt;&gt;TotalTonnage, CONCATENATE( AI1,AM1, AN1, AP1,AQ1, BO1 ), "" )</f>
        <v/>
      </c>
      <c r="S1" s="116" t="str">
        <f xml:space="preserve"> CONCATENATE(  "[code]", C1  )</f>
        <v>[code]</v>
      </c>
      <c r="T1" s="116" t="str">
        <f xml:space="preserve"> CONCATENATE( U1 )</f>
        <v>[code]</v>
      </c>
      <c r="U1" s="116" t="str">
        <f xml:space="preserve"> CONCATENATE(  "[code]", C1  )</f>
        <v>[code]</v>
      </c>
      <c r="AH1" s="16" t="str">
        <f>""</f>
        <v/>
      </c>
      <c r="AI1" s="16" t="str">
        <f xml:space="preserve"> CONCATENATE( BI1 &amp; "-" &amp; AT1 &amp; "-" &amp; BC1 &amp; "-" &amp; BE1 &amp; "-" &amp; BG1  )</f>
        <v>QN-13222R1-000000-00000-0</v>
      </c>
      <c r="AL1" s="16" t="str">
        <f xml:space="preserve"> CHAR(10)</f>
        <v xml:space="preserve">
</v>
      </c>
      <c r="AM1" s="16" t="str">
        <f xml:space="preserve"> CONCATENATE( REPT(" ",15-LEN(AN1)) )</f>
        <v xml:space="preserve">       </v>
      </c>
      <c r="AN1" s="16" t="str">
        <f xml:space="preserve"> CONCATENATE(  "MCr ", TEXT( USP!$C$4, IF(USP!$C$4&lt;100,"0,0",IF(USP!$C$4&lt;1000,"0",IF(USP!$C$4&lt;1000000,"# ##0","# ### ##0"))) ) )</f>
        <v>MCr 49,2</v>
      </c>
      <c r="AP1" s="16" t="str">
        <f xml:space="preserve"> CONCATENATE( REPT(" ",17-LEN(AQ1)) )</f>
        <v xml:space="preserve">         </v>
      </c>
      <c r="AQ1" s="16" t="str">
        <f xml:space="preserve"> CONCATENATE( TEXT( Hull, IF(Hull&lt;1000,"0",IF(Hull&lt;1000000,"# ##0","# ### ##0")) ), " Dton" )</f>
        <v>100 Dton</v>
      </c>
      <c r="AT1" s="16" t="str">
        <f xml:space="preserve"> CONCATENATE( AU1, AV1, AW1, AX1, AY1, AZ1, BA1 )</f>
        <v>13222R1</v>
      </c>
      <c r="AU1" s="16" t="str">
        <f xml:space="preserve"> VLOOKUP( VLOOKUP( Hull, Tables!$B$42:$C$74, 2 ), Tables!$B$3:$C$37, 2 )</f>
        <v>1</v>
      </c>
      <c r="AV1" s="16">
        <f xml:space="preserve"> Con</f>
        <v>3</v>
      </c>
      <c r="AW1" s="16">
        <f xml:space="preserve"> JumpNoDrop</f>
        <v>2</v>
      </c>
      <c r="AX1" s="16">
        <f>ManNoDrop</f>
        <v>2</v>
      </c>
      <c r="AY1" s="16" t="str">
        <f xml:space="preserve"> VLOOKUP( PPNoDrop, Tables!$B$3:$C$37, 2 )</f>
        <v>2</v>
      </c>
      <c r="AZ1" s="16" t="str">
        <f>CompCode</f>
        <v>R</v>
      </c>
      <c r="BA1" s="115" t="str">
        <f xml:space="preserve"> IFERROR( VLOOKUP(  INT( LOG(Crew,10)+1 ),  Tables!$B$3:$C$37,  2  ),0)</f>
        <v>1</v>
      </c>
      <c r="BC1" s="16" t="str">
        <f xml:space="preserve"> CONCATENATE(  IFERROR(Ship!F11,0),  IFERROR(Ship!BW23,0),  IF( ISERROR(Ship!F57),0,Ship!F57),  IF( ISERROR(Ship!F56),0,Ship!F56),  IF( ISERROR(Ship!F58),0,Ship!F58),  IFERROR(Ship!BX23,0)  )</f>
        <v>000000</v>
      </c>
      <c r="BE1" s="16" t="str">
        <f xml:space="preserve"> CONCATENATE(  IFERROR(Ship!BY23,0),  IFERROR(Ship!BZ23,0), IFERROR(Ship!CA23,0),  IFERROR(Ship!CB23,0),  IFERROR(Ship!CC23,0)  )</f>
        <v>00000</v>
      </c>
      <c r="BG1" s="16" t="str">
        <f xml:space="preserve"> CONCATENATE(  ROUNDDOWN(IF( ISERROR(SUM(Ship!C59:C61)),0,SUM(Ship!C59:C61))/10,0)  )</f>
        <v>0</v>
      </c>
      <c r="BI1" s="16" t="str">
        <f xml:space="preserve"> CONCATENATE(  MID( IF(ISERROR(Ship!A5),"X",Ship!A5),1,1),  MID(IF(ISERROR(Ship!A6),"X",Ship!A6),1,1)  )</f>
        <v>QN</v>
      </c>
      <c r="BK1" s="132" t="s">
        <v>11</v>
      </c>
      <c r="BN1" s="16">
        <f xml:space="preserve"> IF(  LBB&gt;0, MIN(ManNoDrop,PPNnDrop),  ROUNDDOWN(  MIN( ManNoDrop, PPNoDrop, (EPNoDrop + SUM(I9:I67) - I18 )/Hull*100 ),  0  )  )</f>
        <v>2</v>
      </c>
      <c r="BO1" s="16" t="str">
        <f xml:space="preserve"> IF( BN1&lt;&gt;Agility, CONCATENATE( "    Ag=" &amp; BN1), "" )</f>
        <v/>
      </c>
      <c r="BS1" s="132" t="s">
        <v>380</v>
      </c>
      <c r="CM1" s="16" t="str">
        <f xml:space="preserve"> VLOOKUP( CN1, Tables!C203:K215, 2+3*(MOD(Comp*1000,10)&gt;0) )</f>
        <v>R</v>
      </c>
      <c r="CN1" s="132">
        <f xml:space="preserve"> MAX( CN3:CN101 )</f>
        <v>1.01</v>
      </c>
    </row>
    <row r="2" spans="1:93" s="115" customFormat="1" ht="10" customHeight="1">
      <c r="A2" s="15">
        <v>12</v>
      </c>
      <c r="C2" s="17" t="str">
        <f t="shared" ref="C2" si="0" xml:space="preserve"> CONCATENATE( AI2,AM2, AN2, AP2,AQ2 )</f>
        <v>QN-13222R1-000000-00000-0       MCr 49,2         100 Dton</v>
      </c>
      <c r="S2" s="116" t="str">
        <f xml:space="preserve"> CONCATENATE( newline &amp; C2  )</f>
        <v xml:space="preserve">
QN-13222R1-000000-00000-0       MCr 49,2         100 Dton</v>
      </c>
      <c r="T2" s="116" t="str">
        <f t="shared" ref="T2" si="1" xml:space="preserve"> CONCATENATE( INDEX($T$1:$T$97,ROW(T2)-1),U2 )</f>
        <v>[code]
QN-13222R1-000000-00000-0       MCr 49,2         100 Dton</v>
      </c>
      <c r="U2" s="116" t="str">
        <f xml:space="preserve"> CONCATENATE( newline &amp; C2  )</f>
        <v xml:space="preserve">
QN-13222R1-000000-00000-0       MCr 49,2         100 Dton</v>
      </c>
      <c r="V2" s="116"/>
      <c r="W2" s="116"/>
      <c r="X2" s="116"/>
      <c r="Y2" s="117"/>
      <c r="Z2" s="117"/>
      <c r="AA2" s="117"/>
      <c r="AB2" s="117"/>
      <c r="AC2" s="117"/>
      <c r="AD2" s="117"/>
      <c r="AE2" s="117"/>
      <c r="AF2" s="116"/>
      <c r="AG2" s="116"/>
      <c r="AH2" s="115" t="str">
        <f>""</f>
        <v/>
      </c>
      <c r="AI2" s="115" t="str">
        <f xml:space="preserve"> CONCATENATE( BI2 &amp; "-" &amp; AT2 &amp; "-" &amp; BC2 &amp; "-" &amp; BE2 &amp; "-" &amp; BG2  )</f>
        <v>QN-13222R1-000000-00000-0</v>
      </c>
      <c r="AM2" s="115" t="str">
        <f t="shared" ref="AM2" si="2" xml:space="preserve"> CONCATENATE( REPT(" ",15-LEN(AN2)) )</f>
        <v xml:space="preserve">       </v>
      </c>
      <c r="AN2" s="115" t="str">
        <f xml:space="preserve"> CONCATENATE(  "MCr ", TEXT( USP!$C$4, IF(USP!$C$4&lt;100,"0,0",IF(USP!$C$4&lt;1000,"0",IF(USP!$C$4&lt;1000000,"# ##0","# ### ##0"))) ) )</f>
        <v>MCr 49,2</v>
      </c>
      <c r="AP2" s="115" t="str">
        <f xml:space="preserve"> CONCATENATE( REPT(" ",17-LEN(AQ2)) )</f>
        <v xml:space="preserve">         </v>
      </c>
      <c r="AQ2" s="115" t="str">
        <f xml:space="preserve"> CONCATENATE( TEXT( TotalTonnage, IF(TotalTonnage&lt;1000,"0",IF(TotalTonnage&lt;1000000,"# ##0","# ### ##0")) ), " Dton" )</f>
        <v>100 Dton</v>
      </c>
      <c r="AT2" s="115" t="str">
        <f xml:space="preserve"> CONCATENATE( AU2, AV2, AW2, AX2, AY2, AZ2, BA2 )</f>
        <v>13222R1</v>
      </c>
      <c r="AU2" s="115" t="str">
        <f xml:space="preserve"> VLOOKUP( VLOOKUP( TotalTonnage, Tables!$B$42:$C$74, 2 ), Tables!$B$3:$C$37, 2 )</f>
        <v>1</v>
      </c>
      <c r="AV2" s="115">
        <f xml:space="preserve"> Con</f>
        <v>3</v>
      </c>
      <c r="AW2" s="115">
        <f>JumpWithDrop</f>
        <v>2</v>
      </c>
      <c r="AX2" s="115">
        <f>ManWithDrop</f>
        <v>2</v>
      </c>
      <c r="AY2" s="115" t="str">
        <f xml:space="preserve"> VLOOKUP( PPWithDrop, Tables!$B$3:$C$37, 2 )</f>
        <v>2</v>
      </c>
      <c r="AZ2" s="115" t="str">
        <f>CompCode</f>
        <v>R</v>
      </c>
      <c r="BA2" s="115" t="str">
        <f xml:space="preserve"> IFERROR( VLOOKUP(  INT( LOG(Crew,10)+1 ),  Tables!$B$3:$C$37,  2  ),0)</f>
        <v>1</v>
      </c>
      <c r="BC2" s="115" t="str">
        <f xml:space="preserve"> BC1</f>
        <v>000000</v>
      </c>
      <c r="BE2" s="115" t="str">
        <f xml:space="preserve"> BE1</f>
        <v>00000</v>
      </c>
      <c r="BG2" s="115" t="str">
        <f xml:space="preserve"> BG1</f>
        <v>0</v>
      </c>
      <c r="BI2" s="115" t="str">
        <f xml:space="preserve"> BI1</f>
        <v>QN</v>
      </c>
      <c r="BK2" s="132" t="s">
        <v>12</v>
      </c>
      <c r="BN2" s="115">
        <f xml:space="preserve"> IF(  LBB&gt;0, MIN(ManWithDrop,PPWithDrop),  ROUNDDOWN(  MIN( ManWithDrop, PPWithDrop, (EPWithDrop + SUM(I9:I67) - I18 )/TotalTonnage*100 ),  0  )  )</f>
        <v>2</v>
      </c>
      <c r="BS2" s="132" t="s">
        <v>381</v>
      </c>
      <c r="CN2" s="132" t="s">
        <v>155</v>
      </c>
    </row>
    <row r="3" spans="1:93" ht="10" customHeight="1">
      <c r="A3" s="18">
        <v>0</v>
      </c>
      <c r="C3" s="17" t="str">
        <f t="shared" ref="C3:C4" si="3" xml:space="preserve"> CONCATENATE( AI3,AM3, AN3, AP3,AQ3 )</f>
        <v>bearing                                            Crew=1</v>
      </c>
      <c r="S3" s="116" t="str">
        <f xml:space="preserve"> CONCATENATE( newline &amp; C3  )</f>
        <v xml:space="preserve">
bearing                                            Crew=1</v>
      </c>
      <c r="T3" s="116" t="str">
        <f t="shared" ref="T3:T34" si="4" xml:space="preserve"> CONCATENATE( INDEX($T$1:$T$97,ROW(T3)-1),U3 )</f>
        <v>[code]
QN-13222R1-000000-00000-0       MCr 49,2         100 Dton
bearing                                            Crew=1</v>
      </c>
      <c r="U3" s="116" t="str">
        <f xml:space="preserve"> CONCATENATE( newline &amp; C3  )</f>
        <v xml:space="preserve">
bearing                                            Crew=1</v>
      </c>
      <c r="AH3" s="16" t="str">
        <f>""</f>
        <v/>
      </c>
      <c r="AI3" s="16" t="str">
        <f xml:space="preserve"> CONCATENATE( USP!B5,"  " )</f>
        <v xml:space="preserve">bearing                  </v>
      </c>
      <c r="AM3" s="16" t="str">
        <f t="shared" ref="AM3:AM4" si="5" xml:space="preserve"> CONCATENATE( REPT(" ",15-LEN(AN3)) )</f>
        <v xml:space="preserve">               </v>
      </c>
      <c r="AN3" s="16" t="str">
        <f>""</f>
        <v/>
      </c>
      <c r="AP3" s="16" t="str">
        <f xml:space="preserve"> CONCATENATE( REPT(" ",17-LEN(AQ3)) )</f>
        <v xml:space="preserve">           </v>
      </c>
      <c r="AQ3" s="16" t="str">
        <f xml:space="preserve"> CONCATENATE( "Crew=", TEXT( USP!D5, IF(USP!D5&lt;1000,"0","# ##0") ) )</f>
        <v>Crew=1</v>
      </c>
      <c r="BK3" s="132" t="s">
        <v>12</v>
      </c>
      <c r="BS3" s="132" t="s">
        <v>381</v>
      </c>
      <c r="CN3" s="132" t="s">
        <v>155</v>
      </c>
    </row>
    <row r="4" spans="1:93" ht="10" customHeight="1">
      <c r="A4" s="19">
        <f>Military</f>
        <v>0</v>
      </c>
      <c r="C4" s="17" t="str">
        <f t="shared" si="3"/>
        <v>batteries                                           TL=12</v>
      </c>
      <c r="S4" s="116" t="str">
        <f xml:space="preserve"> CONCATENATE( newline &amp; C4  )</f>
        <v xml:space="preserve">
batteries                                           TL=12</v>
      </c>
      <c r="T4" s="116" t="str">
        <f t="shared" si="4"/>
        <v>[code]
QN-13222R1-000000-00000-0       MCr 49,2         100 Dton
bearing                                            Crew=1
batteries                                           TL=12</v>
      </c>
      <c r="U4" s="116" t="str">
        <f xml:space="preserve"> CONCATENATE( newline &amp; C4  )</f>
        <v xml:space="preserve">
batteries                                           TL=12</v>
      </c>
      <c r="AH4" s="16" t="str">
        <f>""</f>
        <v/>
      </c>
      <c r="AI4" s="16" t="str">
        <f xml:space="preserve"> CONCATENATE( USP!B6, "  " )</f>
        <v xml:space="preserve">batteries                </v>
      </c>
      <c r="AM4" s="16" t="str">
        <f t="shared" si="5"/>
        <v xml:space="preserve">               </v>
      </c>
      <c r="AN4" s="16" t="str">
        <f>""</f>
        <v/>
      </c>
      <c r="AO4" s="20"/>
      <c r="AP4" s="16" t="str">
        <f xml:space="preserve"> CONCATENATE( REPT(" ",17-LEN(AQ4)) )</f>
        <v xml:space="preserve">            </v>
      </c>
      <c r="AQ4" s="16" t="str">
        <f xml:space="preserve"> CONCATENATE( "TL=", USP!D6 )</f>
        <v>TL=12</v>
      </c>
      <c r="BK4" s="132" t="s">
        <v>13</v>
      </c>
    </row>
    <row r="5" spans="1:93" ht="10" customHeight="1">
      <c r="A5" s="21" t="s">
        <v>302</v>
      </c>
      <c r="C5" s="17" t="str">
        <f xml:space="preserve"> CONCATENATE( AI5 )</f>
        <v xml:space="preserve">                          Cargo=36 Fuel=22 EP=2 Agility=2</v>
      </c>
      <c r="S5" s="116" t="str">
        <f xml:space="preserve"> CONCATENATE(  newline &amp; C5, "[/code]"  )</f>
        <v xml:space="preserve">
                          Cargo=36 Fuel=22 EP=2 Agility=2[/code]</v>
      </c>
      <c r="T5" s="116" t="str">
        <f t="shared" si="4"/>
        <v xml:space="preserve">[code]
QN-13222R1-000000-00000-0       MCr 49,2         100 Dton
bearing                                            Crew=1
batteries                                           TL=12
                          Cargo=36 Fuel=22 EP=2 Agility=2
</v>
      </c>
      <c r="U5" s="116" t="str">
        <f xml:space="preserve"> CONCATENATE(  newline &amp; C5  &amp; newline )</f>
        <v xml:space="preserve">
                          Cargo=36 Fuel=22 EP=2 Agility=2
</v>
      </c>
      <c r="AH5" s="16" t="str">
        <f>""</f>
        <v/>
      </c>
      <c r="AI5" s="16" t="str">
        <f xml:space="preserve"> RIGHT( AL5, 57 )</f>
        <v xml:space="preserve">                          Cargo=36 Fuel=22 EP=2 Agility=2</v>
      </c>
      <c r="AL5" s="16" t="str">
        <f xml:space="preserve"> CONCATENATE( AP5, AQ5 )</f>
        <v xml:space="preserve">                          Cargo=36 Fuel=22 EP=2 Agility=2</v>
      </c>
      <c r="AP5" s="16" t="str">
        <f xml:space="preserve"> CONCATENATE( REPT(" ",MAX(0,57-LEN(AQ5))) )</f>
        <v xml:space="preserve">                          </v>
      </c>
      <c r="AQ5" s="16" t="str">
        <f xml:space="preserve"> CONCATENATE( USP!D7 )</f>
        <v>Cargo=36 Fuel=22 EP=2 Agility=2</v>
      </c>
    </row>
    <row r="6" spans="1:93" ht="10" customHeight="1">
      <c r="A6" s="21" t="s">
        <v>192</v>
      </c>
      <c r="B6" s="22"/>
      <c r="F6" s="23"/>
      <c r="G6" s="24">
        <f xml:space="preserve"> Tonnage - AI68</f>
        <v>36</v>
      </c>
      <c r="H6" s="25">
        <f>SUM(H8:H67)</f>
        <v>49.150000000000006</v>
      </c>
      <c r="I6" s="24">
        <f xml:space="preserve"> MAX( EPNoDrop + SUM(I9:I67) - IF(AND($BD$14=0,I18=0),MAX(Jump,Man)*TotalTonnage/100,0) + 0.001, -1000000*(LBB&lt;=0) )</f>
        <v>2.0009999999999999</v>
      </c>
      <c r="J6" s="26">
        <f>Hardpoints+SUM(J9:J67)</f>
        <v>0</v>
      </c>
      <c r="L6" s="28"/>
      <c r="S6" s="116" t="str">
        <f xml:space="preserve"> CONCATENATE(  "[table]",  "[tr]",  "[td]","TL=",A1,"[/td]", "[td]","[/td]", "[td]",C6,"[/td]", "[td]",D6,"[/td]", "[td]",E6,"[/td]", "[td]",F6,"[/td]", "[td]",G6,"[/td]", "[td]",H6,"[/td]", "[td]",I6,"[/td]",  "[/tr]" )</f>
        <v>[table][tr][td]TL=[/td][td][/td][td][/td][td][/td][td][/td][td][/td][td]36[/td][td]49,15[/td][td]2,001[/td][/tr]</v>
      </c>
      <c r="T6" s="116" t="str">
        <f t="shared" si="4"/>
        <v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</v>
      </c>
      <c r="U6" s="116" t="str">
        <f xml:space="preserve"> CONCATENATE(  newline &amp; V6 &amp; W6 &amp; X6 &amp; Y6 &amp; Z6 &amp; AA6 &amp; AB6 &amp; AC6 &amp; AD6 &amp; AE6 &amp; AF6 &amp; AG6 )</f>
        <v xml:space="preserve">
Single Occupancy                                     36      49,2</v>
      </c>
      <c r="V6" s="116" t="str">
        <f xml:space="preserve"> CONCATENATE( IF( DualOccup&gt;0, "Dual Occupancy", "Single Occupancy" ) )</f>
        <v>Single Occupancy</v>
      </c>
      <c r="W6" s="116" t="str">
        <f xml:space="preserve"> REPT(" ",MAX(0,20-LEN(V6)))</f>
        <v xml:space="preserve">    </v>
      </c>
      <c r="X6" s="116" t="str">
        <f xml:space="preserve"> IF( LBB&gt;0, "LBB2 design", "" )</f>
        <v/>
      </c>
      <c r="Y6" s="116" t="str">
        <f xml:space="preserve"> REPT(" ",MAX(0,15-LEN(X6)))</f>
        <v xml:space="preserve">               </v>
      </c>
      <c r="Z6" s="117" t="str">
        <f xml:space="preserve"> REPT(" ",MAX(0,5-LEN(AA6)))</f>
        <v xml:space="preserve">     </v>
      </c>
      <c r="AB6" s="117" t="str">
        <f xml:space="preserve"> REPT(" ",MAX(0,5-LEN(AC6)))</f>
        <v xml:space="preserve">     </v>
      </c>
      <c r="AD6" s="117" t="str">
        <f xml:space="preserve"> REPT(" ",MAX(0,10-LEN(AE6)))</f>
        <v xml:space="preserve">        </v>
      </c>
      <c r="AE6" s="117">
        <f xml:space="preserve"> IF( G6&lt;&gt;0, IFERROR(ROUND( G6, 1),G6), "" )</f>
        <v>36</v>
      </c>
      <c r="AF6" s="116" t="str">
        <f xml:space="preserve"> REPT(" ",MAX(0,10-LEN(AG6)))</f>
        <v xml:space="preserve">      </v>
      </c>
      <c r="AG6" s="117">
        <f xml:space="preserve"> IF( H6&lt;&gt;0, IFERROR(ROUND( H6, 1),H6), "" )</f>
        <v>49.2</v>
      </c>
      <c r="AH6" s="16" t="str">
        <f>""</f>
        <v/>
      </c>
      <c r="AI6" s="27">
        <f xml:space="preserve"> IF(ISERROR(AJ6),0,AJ6) + IF(ISERROR(AK6),0,AK6)</f>
        <v>44</v>
      </c>
      <c r="AJ6" s="25">
        <f xml:space="preserve"> SUM( G9:G30 )</f>
        <v>43</v>
      </c>
      <c r="AK6" s="25">
        <f xml:space="preserve"> SUM( G33:G67 )</f>
        <v>1</v>
      </c>
      <c r="BK6" s="132" t="s">
        <v>315</v>
      </c>
    </row>
    <row r="7" spans="1:93" ht="10" customHeight="1">
      <c r="A7" s="101">
        <f xml:space="preserve"> 1*(LBB&lt;=0)</f>
        <v>1</v>
      </c>
      <c r="B7" s="128">
        <v>0</v>
      </c>
      <c r="C7" s="28" t="s">
        <v>49</v>
      </c>
      <c r="D7" s="28" t="s">
        <v>202</v>
      </c>
      <c r="E7" s="28"/>
      <c r="F7" s="23" t="s">
        <v>393</v>
      </c>
      <c r="G7" s="29">
        <f>G6</f>
        <v>36</v>
      </c>
      <c r="H7" s="30">
        <f>H6</f>
        <v>49.150000000000006</v>
      </c>
      <c r="I7" s="31">
        <f>I6</f>
        <v>2.0009999999999999</v>
      </c>
      <c r="J7" s="32">
        <f>J6</f>
        <v>0</v>
      </c>
      <c r="K7" s="28" t="s">
        <v>66</v>
      </c>
      <c r="L7" s="104">
        <f xml:space="preserve">  MAX( L8:L67 ) -TL</f>
        <v>0</v>
      </c>
      <c r="S7" s="116" t="str">
        <f xml:space="preserve"> CONCATENATE(  "[tr]",  "[td]",IF(A4&gt;0,"Dual","Single"),"[/td]", "[td]",B7,"[/td]", "[td]","[b]",C7,"[/b]","[/td]", "[td]","[b]",D7,"[/b]","[/td]", "[td]","[b]",E7,"[/b]","[/td]", "[td]","[b]",F7,"[/b]","[/td]", "[td]","[b]","Dton","[/b]","[/td]", "[td]","[b]","Cost","[/b]","[/td]", "[td]","[b]","EP","[/b]","[/td]",   "[/tr]" )</f>
        <v>[tr][td]Single[/td][td]0[/td][td][b]#[/b][/td][td][b]Desired[/b][/td][td][b][/b][/td][td][b]USP[/b][/td][td][b]Dton[/b][/td][td][b]Cost[/b][/td][td][b]EP[/b][/td][/tr]</v>
      </c>
      <c r="T7" s="116" t="str">
        <f t="shared" si="4"/>
        <v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</v>
      </c>
      <c r="U7" s="116" t="str">
        <f t="shared" ref="U7:U71" si="6" xml:space="preserve"> CONCATENATE(  newline &amp; V7 &amp; W7 &amp; X7 &amp; Y7 &amp; Z7 &amp; AA7 &amp; AB7 &amp; AC7 &amp; AD7 &amp; AE7 &amp; AF7 &amp; AG7 )</f>
        <v xml:space="preserve">
                                     USP    #      Dton      Cost</v>
      </c>
      <c r="V7" s="116" t="str">
        <f t="shared" ref="V7:V71" si="7" xml:space="preserve"> T( A7 )</f>
        <v/>
      </c>
      <c r="W7" s="116" t="str">
        <f t="shared" ref="W7:W71" si="8" xml:space="preserve"> REPT(" ",MAX(0,20-LEN(V7)))</f>
        <v xml:space="preserve">                    </v>
      </c>
      <c r="Y7" s="116" t="str">
        <f t="shared" ref="Y7:Y71" si="9" xml:space="preserve"> REPT(" ",MAX(0,15-LEN(X7)))</f>
        <v xml:space="preserve">               </v>
      </c>
      <c r="Z7" s="117" t="str">
        <f t="shared" ref="Z7:Z71" si="10" xml:space="preserve"> REPT(" ",MAX(0,5-LEN(AA7)))</f>
        <v xml:space="preserve">  </v>
      </c>
      <c r="AA7" s="117" t="str">
        <f>F7</f>
        <v>USP</v>
      </c>
      <c r="AB7" s="117" t="str">
        <f xml:space="preserve"> REPT(" ",MAX(0,5-LEN(AC7)))</f>
        <v xml:space="preserve">    </v>
      </c>
      <c r="AC7" s="117" t="str">
        <f t="shared" ref="AC7" si="11">C7</f>
        <v>#</v>
      </c>
      <c r="AD7" s="117" t="str">
        <f t="shared" ref="AD7:AD71" si="12" xml:space="preserve"> REPT(" ",MAX(0,10-LEN(AE7)))</f>
        <v xml:space="preserve">      </v>
      </c>
      <c r="AE7" s="117" t="s">
        <v>344</v>
      </c>
      <c r="AF7" s="116" t="str">
        <f t="shared" ref="AF7:AF71" si="13" xml:space="preserve"> REPT(" ",MAX(0,10-LEN(AG7)))</f>
        <v xml:space="preserve">      </v>
      </c>
      <c r="AG7" s="118" t="s">
        <v>213</v>
      </c>
      <c r="AH7" s="16" t="str">
        <f>""</f>
        <v/>
      </c>
    </row>
    <row r="8" spans="1:93" ht="10" customHeight="1">
      <c r="A8" s="33">
        <f xml:space="preserve"> AU8</f>
        <v>0</v>
      </c>
      <c r="B8" s="21" t="s">
        <v>284</v>
      </c>
      <c r="C8" s="34"/>
      <c r="D8" s="35">
        <v>100</v>
      </c>
      <c r="E8" s="34"/>
      <c r="F8" s="36" t="str">
        <f>AL8</f>
        <v>1</v>
      </c>
      <c r="G8" s="25">
        <f xml:space="preserve"> IF( AN8&gt;0, AN8, MIN(MAX(4,100*(LBB&gt;0),D8), 1000000000-999995000*(LBB&gt;0) ) )</f>
        <v>100</v>
      </c>
      <c r="H8" s="25"/>
      <c r="I8" s="37"/>
      <c r="J8" s="20">
        <f>MAX(1,ROUNDDOWN(Tonnage/100,0))</f>
        <v>1</v>
      </c>
      <c r="K8" s="25"/>
      <c r="L8" s="102"/>
      <c r="S8" s="116" t="str">
        <f xml:space="preserve"> CONCATENATE(  "[tr]",  "[td]","Hull","[/td]", "[td]",B8,"[/td]", "[td]",C8,"[/td]", "[td]",D8,"[/td]", "[td]",E8,"[/td]", "[td]",F8,"[/td]", "[td]",IF(G8&lt;&gt;0,G8,""),"[/td]", "[td]",IF(H8&lt;&gt;0,H8,""),"[/td]", "[td]",IF(I8&lt;&gt;0,I8,""),"[/td]",  "[/tr]" )</f>
        <v>[tr][td]Hull[/td][td]Custom[/td][td][/td][td]100[/td][td][/td][td]1[/td][td]100[/td][td][/td][td][/td][/tr]</v>
      </c>
      <c r="T8" s="116" t="str">
        <f t="shared" si="4"/>
        <v xml:space="preserve"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</v>
      </c>
      <c r="U8" s="116" t="str">
        <f t="shared" si="6"/>
        <v xml:space="preserve">
Hull, Part Streaml  Custom             1            100          </v>
      </c>
      <c r="V8" s="116" t="str">
        <f xml:space="preserve"> CONCATENATE( "Hull", ", ", IF( AO9=Tables!$D$93,  "Part Streaml",  AO9 ) )</f>
        <v>Hull, Part Streaml</v>
      </c>
      <c r="W8" s="116" t="str">
        <f t="shared" si="8"/>
        <v xml:space="preserve">  </v>
      </c>
      <c r="X8" s="117" t="str">
        <f xml:space="preserve"> IF( B8&lt;&gt;0, B8, "" )</f>
        <v>Custom</v>
      </c>
      <c r="Y8" s="116" t="str">
        <f t="shared" si="9"/>
        <v xml:space="preserve">         </v>
      </c>
      <c r="Z8" s="117" t="str">
        <f t="shared" si="10"/>
        <v xml:space="preserve">    </v>
      </c>
      <c r="AA8" s="117" t="str">
        <f xml:space="preserve"> IF( F8&lt;&gt;0, F8, "" )</f>
        <v>1</v>
      </c>
      <c r="AB8" s="117" t="str">
        <f t="shared" ref="AB8:AB72" si="14" xml:space="preserve"> REPT(" ",MAX(0,5-LEN(AC8)))</f>
        <v xml:space="preserve">     </v>
      </c>
      <c r="AC8" s="117" t="str">
        <f xml:space="preserve"> IF( C8&lt;&gt;0, C8, "" )</f>
        <v/>
      </c>
      <c r="AD8" s="117" t="str">
        <f t="shared" si="12"/>
        <v xml:space="preserve">       </v>
      </c>
      <c r="AE8" s="117">
        <f xml:space="preserve"> IF( G8&lt;&gt;0, IFERROR(ROUND( G8, 1),G8), "" )</f>
        <v>100</v>
      </c>
      <c r="AF8" s="116" t="str">
        <f t="shared" si="13"/>
        <v xml:space="preserve">          </v>
      </c>
      <c r="AG8" s="117" t="str">
        <f xml:space="preserve"> IF( H8&lt;&gt;0, IFERROR(ROUND( H8, 1),H8), "" )</f>
        <v/>
      </c>
      <c r="AH8" s="16" t="str">
        <f>""</f>
        <v/>
      </c>
      <c r="AI8" s="16">
        <f>VLOOKUP(Tonnage,Tables!$B$42:$D$74,2)</f>
        <v>1</v>
      </c>
      <c r="AJ8" s="16">
        <f>VLOOKUP(Tonnage,Tables!$B$42:$D$74,3)</f>
        <v>0</v>
      </c>
      <c r="AK8" s="115">
        <f>VLOOKUP(Tonnage,Tables!$B$42:$F$74,5)</f>
        <v>10</v>
      </c>
      <c r="AL8" s="16" t="str">
        <f>VLOOKUP(AI8,Tables!B3:C37,2)</f>
        <v>1</v>
      </c>
      <c r="AN8" s="16">
        <f xml:space="preserve"> VLOOKUP( $B8, Tables!$A$78:$E$84, 2, 0 )</f>
        <v>0</v>
      </c>
      <c r="AO8" s="115">
        <f xml:space="preserve"> VLOOKUP( $B8, Tables!$A$78:$E$84, 3, 0 )</f>
        <v>0</v>
      </c>
      <c r="AP8" s="115">
        <f xml:space="preserve"> VLOOKUP( $B8, Tables!$A$78:$E$84, 4, 0 )</f>
        <v>0</v>
      </c>
      <c r="AQ8" s="115">
        <f xml:space="preserve"> VLOOKUP( $B8, Tables!$A$78:$E$84, 5, 0 )</f>
        <v>0</v>
      </c>
      <c r="AT8" s="16" t="s">
        <v>261</v>
      </c>
      <c r="AU8" s="16">
        <f xml:space="preserve"> 1*( Comp&lt;AK25 )</f>
        <v>0</v>
      </c>
    </row>
    <row r="9" spans="1:93" ht="10" customHeight="1">
      <c r="A9" s="23" t="s">
        <v>306</v>
      </c>
      <c r="B9" s="21" t="str">
        <f>AK9</f>
        <v>Cylinder</v>
      </c>
      <c r="C9" s="34"/>
      <c r="D9" s="35">
        <f xml:space="preserve"> IF( Hull&lt;100, 2, 3 )</f>
        <v>3</v>
      </c>
      <c r="E9" s="34"/>
      <c r="F9" s="36">
        <f>AM9</f>
        <v>3</v>
      </c>
      <c r="G9" s="25">
        <f>Tonnage*AP9</f>
        <v>0</v>
      </c>
      <c r="H9" s="25">
        <f xml:space="preserve"> IF(  AP8&gt;0,  AP8 + Tonnage/100*1*(AO9=Tables!D90),  IF(  LBB&gt;0,  MAX(Tonnage*0.1,20)+Tonnage/100*1*(AO9=Tables!D90),  Tonnage*0.1*(1+AQ9)+Tonnage*AR9+(Tonnage-G9)*AS9  ) )</f>
        <v>10</v>
      </c>
      <c r="I9" s="37"/>
      <c r="J9" s="20"/>
      <c r="K9" s="25"/>
      <c r="L9" s="102"/>
      <c r="S9" s="116" t="str">
        <f t="shared" ref="S9:S41" si="15" xml:space="preserve"> CONCATENATE(  "[tr]",  "[td]",A9,"[/td]", "[td]",B9,"[/td]", "[td]",C9,"[/td]", "[td]",D9,"[/td]", "[td]",E9,"[/td]", "[td]",F9,"[/td]", "[td]",IF(G9&lt;&gt;0,G9,""),"[/td]", "[td]",IF(H9&lt;&gt;0,H9,""),"[/td]", "[td]",IF(I9&lt;&gt;0,I9,""),"[/td]",  "[/tr]" )</f>
        <v>[tr][td]Configuration[/td][td]Cylinder[/td][td][/td][td]3[/td][td][/td][td]3[/td][td][/td][td]10[/td][td][/td][/tr]</v>
      </c>
      <c r="T9" s="116" t="str">
        <f t="shared" si="4"/>
        <v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</v>
      </c>
      <c r="U9" s="116" t="str">
        <f t="shared" si="6"/>
        <v xml:space="preserve">
Configuration       Cylinder           3                       10</v>
      </c>
      <c r="V9" s="116" t="str">
        <f>A9</f>
        <v>Configuration</v>
      </c>
      <c r="W9" s="116" t="str">
        <f t="shared" si="8"/>
        <v xml:space="preserve">       </v>
      </c>
      <c r="X9" s="117" t="str">
        <f xml:space="preserve"> IF( AN9&lt;&gt;0, AN9, "" )</f>
        <v>Cylinder</v>
      </c>
      <c r="Y9" s="116" t="str">
        <f t="shared" si="9"/>
        <v xml:space="preserve">       </v>
      </c>
      <c r="Z9" s="117" t="str">
        <f t="shared" si="10"/>
        <v xml:space="preserve">    </v>
      </c>
      <c r="AA9" s="117">
        <f t="shared" ref="AA9:AA72" si="16" xml:space="preserve"> IF( F9&lt;&gt;0, F9, "" )</f>
        <v>3</v>
      </c>
      <c r="AB9" s="117" t="str">
        <f t="shared" si="14"/>
        <v xml:space="preserve">     </v>
      </c>
      <c r="AC9" s="117" t="str">
        <f t="shared" ref="AC9:AC72" si="17" xml:space="preserve"> IF( C9&lt;&gt;0, C9, "" )</f>
        <v/>
      </c>
      <c r="AD9" s="117" t="str">
        <f t="shared" si="12"/>
        <v xml:space="preserve">          </v>
      </c>
      <c r="AE9" s="117" t="str">
        <f t="shared" ref="AE9:AE72" si="18" xml:space="preserve"> IF( G9&lt;&gt;0, IFERROR(ROUND( G9, 1),G9), "" )</f>
        <v/>
      </c>
      <c r="AF9" s="116" t="str">
        <f t="shared" si="13"/>
        <v xml:space="preserve">        </v>
      </c>
      <c r="AG9" s="117">
        <f t="shared" ref="AG9:AG72" si="19" xml:space="preserve"> IF( H9&lt;&gt;0, IFERROR(ROUND( H9, 1),H9), "" )</f>
        <v>10</v>
      </c>
      <c r="AH9" s="16" t="str">
        <f>""</f>
        <v/>
      </c>
      <c r="AI9" s="23">
        <f xml:space="preserve"> INT(  MIN( MAX( 1, VLOOKUP(B9,Tables!$B$90:$H$98,2,0) ), AL9  )  )</f>
        <v>3</v>
      </c>
      <c r="AJ9" s="38">
        <f xml:space="preserve"> INT(  MIN( MAX( 1, D9 ), AL9  )  )</f>
        <v>3</v>
      </c>
      <c r="AK9" s="16" t="str">
        <f xml:space="preserve"> VLOOKUP( AJ9, Tables!$A$89:$H$98, 2 )</f>
        <v>Cylinder</v>
      </c>
      <c r="AL9" s="16">
        <f xml:space="preserve"> IF(Tonnage&lt;100,7,IF(AN8&gt;0,3*0+7,9))</f>
        <v>9</v>
      </c>
      <c r="AM9" s="16">
        <f>VLOOKUP($AI9,Tables!$A$89:$H$98,1)</f>
        <v>3</v>
      </c>
      <c r="AN9" s="16" t="str">
        <f>VLOOKUP($AI9,Tables!$A$89:$H$98,2)</f>
        <v>Cylinder</v>
      </c>
      <c r="AO9" s="16" t="str">
        <f xml:space="preserve"> VLOOKUP($AI9,Tables!$A$89:$H$98,4)</f>
        <v>Partial</v>
      </c>
      <c r="AP9" s="39">
        <f>VLOOKUP($AI9,Tables!$A$89:$H$98,5)</f>
        <v>0</v>
      </c>
      <c r="AQ9" s="40">
        <f>VLOOKUP($AI9,Tables!$A$89:$H$98,6)</f>
        <v>0</v>
      </c>
      <c r="AR9" s="41">
        <f>VLOOKUP($AI9,Tables!$A$89:$H$98,7)</f>
        <v>0</v>
      </c>
      <c r="AS9" s="41">
        <f>VLOOKUP($AI9,Tables!$A$89:$H$98,8)</f>
        <v>0</v>
      </c>
      <c r="AT9" s="42">
        <f>VLOOKUP($AI9,Tables!$A$89:$I$98,9)</f>
        <v>0</v>
      </c>
      <c r="AX9" s="16" t="str">
        <f xml:space="preserve"> Tables!$B$90</f>
        <v>Needle/Wedge</v>
      </c>
      <c r="AY9" s="16" t="str">
        <f xml:space="preserve"> Tables!$B$91</f>
        <v>Cone</v>
      </c>
      <c r="AZ9" s="16" t="str">
        <f xml:space="preserve"> Tables!$B$92</f>
        <v>Cylinder</v>
      </c>
      <c r="BA9" s="16" t="str">
        <f xml:space="preserve"> IF( AN8&gt;0, Tables!$B$92, Tables!$B$93 )</f>
        <v>Close Structure</v>
      </c>
      <c r="BB9" s="16" t="str">
        <f xml:space="preserve"> IF( AN8&gt;0, Tables!$B$92, Tables!$B$94 )</f>
        <v>Sphere</v>
      </c>
      <c r="BC9" s="16" t="str">
        <f xml:space="preserve"> IF( AN8&gt;0, Tables!$B$92, Tables!$B$95 )</f>
        <v>Flattened Sphere</v>
      </c>
      <c r="BD9" s="16" t="str">
        <f xml:space="preserve"> IF( AN8&gt;0, Tables!$B$92, Tables!$B$96 )</f>
        <v>Dispersed</v>
      </c>
      <c r="BE9" s="16" t="str">
        <f xml:space="preserve"> IF( Hull&lt;100, Tables!$B$96, IF( AN8&gt;0, Tables!$B$92, Tables!$B$97 ) )</f>
        <v>Planetoid</v>
      </c>
      <c r="BF9" s="16" t="str">
        <f xml:space="preserve"> IF( Hull&lt;100, Tables!$B$96, IF( AN8&gt;0, Tables!$B$92, Tables!$B$98 ) )</f>
        <v>Buffered Planetoid</v>
      </c>
      <c r="BN9" s="115" t="s">
        <v>19</v>
      </c>
      <c r="BO9" s="115" t="s">
        <v>21</v>
      </c>
    </row>
    <row r="10" spans="1:93" ht="10" customHeight="1">
      <c r="A10" s="23" t="s">
        <v>307</v>
      </c>
      <c r="B10" s="16" t="str">
        <f xml:space="preserve"> IF( AND( OR(LBB&gt;0,$AN$8&gt;0), $AO$9=Tables!$D$89 ), Tables!$D$96, $AO$9 )</f>
        <v>Partial</v>
      </c>
      <c r="C10" s="34"/>
      <c r="D10" s="35">
        <f xml:space="preserve"> IF( LBB&gt;0, IF(B10=Tables!D91,1,0), IF( Con&lt;=6, 1, 0 ) )</f>
        <v>1</v>
      </c>
      <c r="E10" s="34"/>
      <c r="F10" s="36"/>
      <c r="G10" s="25"/>
      <c r="H10" s="25">
        <f xml:space="preserve"> D10 * IF( Tonnage&lt;100, 0, Tonnage/1000 ) * (LBB&lt;=0)</f>
        <v>0.1</v>
      </c>
      <c r="I10" s="37"/>
      <c r="J10" s="20"/>
      <c r="K10" s="25"/>
      <c r="L10" s="102"/>
      <c r="S10" s="116" t="str">
        <f t="shared" si="15"/>
        <v>[tr][td]Scoops[/td][td]Partial[/td][td][/td][td]1[/td][td][/td][td][/td][td][/td][td]0,1[/td][td][/td][/tr]</v>
      </c>
      <c r="T10" s="116" t="str">
        <f t="shared" si="4"/>
        <v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</v>
      </c>
      <c r="U10" s="116" t="str">
        <f xml:space="preserve"> IF(  OR( H10&gt;0, AND( LBB&gt;0, B10=Tables!$D$90 ) ),  CONCATENATE(  newline &amp; V10 &amp; W10 &amp; X10 &amp; Y10 &amp; Z10 &amp; AA10 &amp; AB10 &amp; AC10 &amp; AD10 &amp; AE10 &amp; AF10 &amp; AG10 ), ""  )</f>
        <v xml:space="preserve">
Scoops              Partial                                   0,1</v>
      </c>
      <c r="V10" s="116" t="str">
        <f t="shared" si="7"/>
        <v>Scoops</v>
      </c>
      <c r="W10" s="116" t="str">
        <f t="shared" si="8"/>
        <v xml:space="preserve">              </v>
      </c>
      <c r="X10" s="117" t="str">
        <f xml:space="preserve"> IF( B10&lt;&gt;0, B10, "" )</f>
        <v>Partial</v>
      </c>
      <c r="Y10" s="116" t="str">
        <f t="shared" si="9"/>
        <v xml:space="preserve">        </v>
      </c>
      <c r="Z10" s="117" t="str">
        <f t="shared" si="10"/>
        <v xml:space="preserve">     </v>
      </c>
      <c r="AA10" s="117" t="str">
        <f t="shared" si="16"/>
        <v/>
      </c>
      <c r="AB10" s="117" t="str">
        <f t="shared" si="14"/>
        <v xml:space="preserve">     </v>
      </c>
      <c r="AC10" s="117" t="str">
        <f t="shared" si="17"/>
        <v/>
      </c>
      <c r="AD10" s="117" t="str">
        <f t="shared" si="12"/>
        <v xml:space="preserve">          </v>
      </c>
      <c r="AE10" s="117" t="str">
        <f t="shared" si="18"/>
        <v/>
      </c>
      <c r="AF10" s="116" t="str">
        <f t="shared" si="13"/>
        <v xml:space="preserve">       </v>
      </c>
      <c r="AG10" s="117">
        <f t="shared" si="19"/>
        <v>0.1</v>
      </c>
      <c r="AH10" s="16" t="str">
        <f>""</f>
        <v/>
      </c>
      <c r="AL10" s="39"/>
      <c r="AM10" s="40"/>
      <c r="AN10" s="43"/>
      <c r="AO10" s="43"/>
      <c r="AP10" s="42"/>
    </row>
    <row r="11" spans="1:93" ht="10" customHeight="1">
      <c r="A11" s="23" t="s">
        <v>1</v>
      </c>
      <c r="B11" s="44">
        <f>INT(  IF(  Con=7,  0,  MIN(MAX(ArmourPlanetoid,D11),TL+ArmourPlanetoid)  )  )</f>
        <v>0</v>
      </c>
      <c r="C11" s="34"/>
      <c r="D11" s="35">
        <v>0</v>
      </c>
      <c r="E11" s="34"/>
      <c r="F11" s="36" t="str">
        <f xml:space="preserve"> VLOOKUP( Armour, Tables!B3:C37, 2 )</f>
        <v>0</v>
      </c>
      <c r="G11" s="25">
        <f>(Armour-ArmourPlanetoid+1)*Tonnage*(Armour-ArmourPlanetoid&gt;0)*AJ11/100</f>
        <v>0</v>
      </c>
      <c r="H11" s="25">
        <f>G11*((Armour-ArmourPlanetoid)*0.1+0.3)</f>
        <v>0</v>
      </c>
      <c r="I11" s="37"/>
      <c r="J11" s="20"/>
      <c r="K11" s="25"/>
      <c r="L11" s="102">
        <f t="shared" ref="L11:L58" si="20">TL</f>
        <v>12</v>
      </c>
      <c r="S11" s="116" t="str">
        <f t="shared" ref="S11:S13" si="21" xml:space="preserve"> CONCATENATE(  "[tr]",  "[td]",A11,"[/td]", "[td]",B11,"[/td]", "[td]",C11,"[/td]", "[td]",D11,"[/td]", "[td]",E11,"[/td]", "[td]",F11,"[/td]", "[td]",IF(G11&lt;&gt;0,G11,""),"[/td]", "[td]",IF(H11&lt;&gt;0,H11,""),"[/td]", "[td]",IF(I11&lt;&gt;0,I11,""),"[/td]",  "[/tr]" )</f>
        <v>[tr][td]Armour[/td][td]0[/td][td][/td][td]0[/td][td][/td][td]0[/td][td][/td][td][/td][td][/td][/tr]</v>
      </c>
      <c r="T11" s="116" t="str">
        <f t="shared" si="4"/>
        <v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</v>
      </c>
      <c r="U11" s="116" t="str">
        <f xml:space="preserve"> IF(  Armour&gt;0,  CONCATENATE(  newline &amp; V11 &amp; W11 &amp; X11 &amp; Y11 &amp; Z11 &amp; AA11 &amp; AB11 &amp; AC11 &amp; AD11 &amp; AE11 &amp; AF11 &amp; AG11 ),  ""  )</f>
        <v/>
      </c>
      <c r="V11" s="116" t="str">
        <f t="shared" si="7"/>
        <v>Armour</v>
      </c>
      <c r="W11" s="116" t="str">
        <f t="shared" si="8"/>
        <v xml:space="preserve">              </v>
      </c>
      <c r="X11" s="117" t="str">
        <f t="shared" ref="X11:X72" si="22" xml:space="preserve"> IF( B11&lt;&gt;0, B11, "" )</f>
        <v/>
      </c>
      <c r="Y11" s="116" t="str">
        <f t="shared" si="9"/>
        <v xml:space="preserve">               </v>
      </c>
      <c r="Z11" s="117" t="str">
        <f t="shared" si="10"/>
        <v xml:space="preserve">    </v>
      </c>
      <c r="AA11" s="117" t="str">
        <f t="shared" si="16"/>
        <v>0</v>
      </c>
      <c r="AB11" s="117" t="str">
        <f t="shared" si="14"/>
        <v xml:space="preserve">     </v>
      </c>
      <c r="AC11" s="117" t="str">
        <f t="shared" si="17"/>
        <v/>
      </c>
      <c r="AD11" s="117" t="str">
        <f t="shared" si="12"/>
        <v xml:space="preserve">          </v>
      </c>
      <c r="AE11" s="117" t="str">
        <f t="shared" si="18"/>
        <v/>
      </c>
      <c r="AF11" s="116" t="str">
        <f t="shared" si="13"/>
        <v xml:space="preserve">          </v>
      </c>
      <c r="AG11" s="117" t="str">
        <f t="shared" si="19"/>
        <v/>
      </c>
      <c r="AH11" s="16" t="str">
        <f>""</f>
        <v/>
      </c>
      <c r="AI11" s="16">
        <f>VLOOKUP($L11,Tables!$A$103:$B$107,1)</f>
        <v>12</v>
      </c>
      <c r="AJ11" s="16">
        <f>VLOOKUP(AI11,Tables!$A$103:$B$107,2)</f>
        <v>2</v>
      </c>
    </row>
    <row r="12" spans="1:93" ht="10" customHeight="1">
      <c r="A12" s="23"/>
      <c r="B12" s="44"/>
      <c r="C12" s="34"/>
      <c r="D12" s="34"/>
      <c r="E12" s="34"/>
      <c r="F12" s="36"/>
      <c r="G12" s="25"/>
      <c r="H12" s="25"/>
      <c r="I12" s="37"/>
      <c r="J12" s="20"/>
      <c r="K12" s="25"/>
      <c r="L12" s="102"/>
      <c r="S12" s="116" t="str">
        <f t="shared" si="21"/>
        <v>[tr][td][/td][td][/td][td][/td][td][/td][td][/td][td][/td][td][/td][td][/td][td][/td][/tr]</v>
      </c>
      <c r="T12" s="116" t="str">
        <f t="shared" si="4"/>
        <v xml:space="preserve"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                                                                 </v>
      </c>
      <c r="U12" s="116" t="str">
        <f t="shared" si="6"/>
        <v xml:space="preserve">
                                                                 </v>
      </c>
      <c r="V12" s="116" t="str">
        <f t="shared" si="7"/>
        <v/>
      </c>
      <c r="W12" s="116" t="str">
        <f t="shared" si="8"/>
        <v xml:space="preserve">                    </v>
      </c>
      <c r="X12" s="117" t="str">
        <f t="shared" si="22"/>
        <v/>
      </c>
      <c r="Y12" s="116" t="str">
        <f t="shared" si="9"/>
        <v xml:space="preserve">               </v>
      </c>
      <c r="Z12" s="117" t="str">
        <f t="shared" si="10"/>
        <v xml:space="preserve">     </v>
      </c>
      <c r="AA12" s="117" t="str">
        <f t="shared" si="16"/>
        <v/>
      </c>
      <c r="AB12" s="117" t="str">
        <f t="shared" si="14"/>
        <v xml:space="preserve">     </v>
      </c>
      <c r="AC12" s="117" t="str">
        <f t="shared" si="17"/>
        <v/>
      </c>
      <c r="AD12" s="117" t="str">
        <f t="shared" si="12"/>
        <v xml:space="preserve">          </v>
      </c>
      <c r="AE12" s="117" t="str">
        <f t="shared" si="18"/>
        <v/>
      </c>
      <c r="AF12" s="116" t="str">
        <f t="shared" si="13"/>
        <v xml:space="preserve">          </v>
      </c>
      <c r="AG12" s="117" t="str">
        <f t="shared" si="19"/>
        <v/>
      </c>
      <c r="AH12" s="16" t="str">
        <f>""</f>
        <v/>
      </c>
    </row>
    <row r="13" spans="1:93" ht="10" customHeight="1">
      <c r="A13" s="23" t="s">
        <v>308</v>
      </c>
      <c r="B13" s="45">
        <f>Tonnage/(1-D13)-Tonnage</f>
        <v>0</v>
      </c>
      <c r="C13" s="34"/>
      <c r="D13" s="46">
        <v>0</v>
      </c>
      <c r="E13" s="34"/>
      <c r="F13" s="36"/>
      <c r="G13" s="25"/>
      <c r="H13" s="25">
        <f>((B13&gt;0)*10+B13*1)/1000</f>
        <v>0</v>
      </c>
      <c r="I13" s="37"/>
      <c r="J13" s="20"/>
      <c r="K13" s="25"/>
      <c r="L13" s="102"/>
      <c r="S13" s="116" t="str">
        <f t="shared" si="21"/>
        <v>[tr][td]Drop Tanks[/td][td]0[/td][td][/td][td]0[/td][td][/td][td][/td][td][/td][td][/td][td][/td][/tr]</v>
      </c>
      <c r="T13" s="116" t="str">
        <f t="shared" si="4"/>
        <v xml:space="preserve"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                                                                 </v>
      </c>
      <c r="U13" s="116" t="str">
        <f xml:space="preserve"> IF( TotalTonnage&lt;&gt;Hull, CONCATENATE(  newline &amp; V13 &amp; W13 &amp; X13 &amp; Y13 &amp; Z13 &amp; AA13 &amp; AB13 &amp; AC13 &amp; AD13 &amp; AE13 &amp; AF13 &amp; AG13 ), "" )</f>
        <v/>
      </c>
      <c r="V13" s="116" t="str">
        <f t="shared" si="7"/>
        <v>Drop Tanks</v>
      </c>
      <c r="W13" s="116" t="str">
        <f t="shared" si="8"/>
        <v xml:space="preserve">          </v>
      </c>
      <c r="X13" s="117" t="str">
        <f t="shared" si="22"/>
        <v/>
      </c>
      <c r="Y13" s="116" t="str">
        <f t="shared" si="9"/>
        <v xml:space="preserve">               </v>
      </c>
      <c r="Z13" s="117" t="str">
        <f t="shared" si="10"/>
        <v xml:space="preserve">     </v>
      </c>
      <c r="AA13" s="117" t="str">
        <f t="shared" si="16"/>
        <v/>
      </c>
      <c r="AB13" s="117" t="str">
        <f t="shared" si="14"/>
        <v xml:space="preserve">     </v>
      </c>
      <c r="AC13" s="117" t="str">
        <f t="shared" si="17"/>
        <v/>
      </c>
      <c r="AD13" s="117" t="str">
        <f t="shared" si="12"/>
        <v xml:space="preserve">          </v>
      </c>
      <c r="AE13" s="117" t="str">
        <f t="shared" si="18"/>
        <v/>
      </c>
      <c r="AF13" s="116" t="str">
        <f t="shared" si="13"/>
        <v xml:space="preserve">          </v>
      </c>
      <c r="AG13" s="117" t="str">
        <f t="shared" si="19"/>
        <v/>
      </c>
      <c r="AH13" s="16" t="str">
        <f>""</f>
        <v/>
      </c>
      <c r="AL13" s="100"/>
      <c r="AM13" s="100"/>
      <c r="AS13" s="105"/>
      <c r="AT13" s="105"/>
      <c r="AU13" s="105"/>
      <c r="AW13" s="106"/>
      <c r="AX13" s="106"/>
      <c r="AY13" s="50" t="s">
        <v>25</v>
      </c>
      <c r="AZ13" s="50" t="s">
        <v>140</v>
      </c>
      <c r="BA13" s="50" t="s">
        <v>103</v>
      </c>
      <c r="BB13" s="50" t="s">
        <v>104</v>
      </c>
      <c r="BC13" s="50" t="s">
        <v>246</v>
      </c>
      <c r="BD13" s="50" t="s">
        <v>247</v>
      </c>
      <c r="BE13" s="50" t="s">
        <v>283</v>
      </c>
      <c r="BF13" s="50" t="s">
        <v>74</v>
      </c>
      <c r="BI13" s="50" t="s">
        <v>27</v>
      </c>
      <c r="BJ13" s="50" t="s">
        <v>26</v>
      </c>
      <c r="BL13" s="50" t="s">
        <v>18</v>
      </c>
      <c r="BM13" s="50" t="s">
        <v>140</v>
      </c>
      <c r="BN13" s="50" t="s">
        <v>103</v>
      </c>
      <c r="BO13" s="50" t="s">
        <v>104</v>
      </c>
      <c r="BP13" s="50" t="s">
        <v>246</v>
      </c>
      <c r="BQ13" s="50" t="s">
        <v>326</v>
      </c>
      <c r="BT13" s="50" t="s">
        <v>374</v>
      </c>
      <c r="BU13" s="50" t="s">
        <v>372</v>
      </c>
      <c r="BV13" s="115"/>
      <c r="BW13" s="50" t="s">
        <v>18</v>
      </c>
      <c r="BX13" s="50" t="s">
        <v>140</v>
      </c>
      <c r="BY13" s="50" t="s">
        <v>103</v>
      </c>
      <c r="BZ13" s="50" t="s">
        <v>104</v>
      </c>
      <c r="CA13" s="50" t="s">
        <v>246</v>
      </c>
      <c r="CB13" s="50" t="s">
        <v>326</v>
      </c>
      <c r="CO13" s="115" t="s">
        <v>179</v>
      </c>
    </row>
    <row r="14" spans="1:93" ht="10" customHeight="1">
      <c r="A14" s="23" t="s">
        <v>5</v>
      </c>
      <c r="B14" s="45">
        <f>Tonnage*(1/(1-D13))</f>
        <v>100</v>
      </c>
      <c r="C14" s="34"/>
      <c r="D14" s="34"/>
      <c r="E14" s="34"/>
      <c r="F14" s="36"/>
      <c r="G14" s="25"/>
      <c r="H14" s="25"/>
      <c r="I14" s="37"/>
      <c r="J14" s="20"/>
      <c r="K14" s="25"/>
      <c r="L14" s="102"/>
      <c r="S14" s="116" t="str">
        <f t="shared" si="15"/>
        <v>[tr][td]Total tonnage[/td][td]100[/td][td][/td][td][/td][td][/td][td][/td][td][/td][td][/td][td][/td][/tr]</v>
      </c>
      <c r="T14" s="116" t="str">
        <f t="shared" si="4"/>
        <v xml:space="preserve"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                                                                 </v>
      </c>
      <c r="U14" s="116" t="str">
        <f t="shared" ref="U14" si="23" xml:space="preserve"> IF( TotalTonnage&lt;&gt;Hull, CONCATENATE(  newline &amp; V14 &amp; W14 &amp; X14 &amp; Y14 &amp; Z14 &amp; AA14 &amp; AB14 &amp; AC14 &amp; AD14 &amp; AE14 &amp; AF14 &amp; AG14 ), "" )</f>
        <v/>
      </c>
      <c r="V14" s="116" t="str">
        <f t="shared" si="7"/>
        <v>Total tonnage</v>
      </c>
      <c r="W14" s="116" t="str">
        <f t="shared" si="8"/>
        <v xml:space="preserve">       </v>
      </c>
      <c r="X14" s="117">
        <f t="shared" si="22"/>
        <v>100</v>
      </c>
      <c r="Y14" s="116" t="str">
        <f t="shared" si="9"/>
        <v xml:space="preserve">            </v>
      </c>
      <c r="Z14" s="117" t="str">
        <f t="shared" si="10"/>
        <v xml:space="preserve">     </v>
      </c>
      <c r="AA14" s="117" t="str">
        <f t="shared" si="16"/>
        <v/>
      </c>
      <c r="AB14" s="117" t="str">
        <f t="shared" si="14"/>
        <v xml:space="preserve">     </v>
      </c>
      <c r="AC14" s="117" t="str">
        <f t="shared" si="17"/>
        <v/>
      </c>
      <c r="AD14" s="117" t="str">
        <f t="shared" si="12"/>
        <v xml:space="preserve">          </v>
      </c>
      <c r="AE14" s="117" t="str">
        <f t="shared" si="18"/>
        <v/>
      </c>
      <c r="AF14" s="116" t="str">
        <f t="shared" si="13"/>
        <v xml:space="preserve">          </v>
      </c>
      <c r="AG14" s="117" t="str">
        <f t="shared" si="19"/>
        <v/>
      </c>
      <c r="AH14" s="16" t="str">
        <f>""</f>
        <v/>
      </c>
      <c r="AI14" s="50" t="s">
        <v>4</v>
      </c>
      <c r="AJ14" s="50" t="s">
        <v>160</v>
      </c>
      <c r="AK14" s="50" t="s">
        <v>375</v>
      </c>
      <c r="AL14" s="50" t="s">
        <v>373</v>
      </c>
      <c r="AM14" s="50" t="s">
        <v>374</v>
      </c>
      <c r="AP14" s="106"/>
      <c r="AQ14" s="106"/>
      <c r="AU14" s="105"/>
      <c r="AV14" s="105"/>
      <c r="AW14" s="105"/>
      <c r="AY14" s="50">
        <f t="shared" ref="AY14:AZ14" si="24" xml:space="preserve"> MAX( AY15:AY22 )</f>
        <v>2</v>
      </c>
      <c r="AZ14" s="50">
        <f t="shared" si="24"/>
        <v>20</v>
      </c>
      <c r="BA14" s="50">
        <f xml:space="preserve"> MAX( BA15:BA22 )</f>
        <v>2</v>
      </c>
      <c r="BB14" s="50">
        <f t="shared" ref="BB14:BD14" si="25" xml:space="preserve"> MAX( BB15:BB22 )</f>
        <v>2</v>
      </c>
      <c r="BC14" s="50">
        <f t="shared" si="25"/>
        <v>2</v>
      </c>
      <c r="BD14" s="50">
        <f t="shared" si="25"/>
        <v>2</v>
      </c>
      <c r="BE14" s="50">
        <f xml:space="preserve"> MAX( 1, BE15:BE22 )</f>
        <v>2</v>
      </c>
      <c r="BF14" s="25">
        <f xml:space="preserve"> SUM( BF15:BF20 )</f>
        <v>10</v>
      </c>
      <c r="BM14" s="50">
        <f t="shared" ref="BM14" si="26" xml:space="preserve"> MAX( BM15:BM22 )</f>
        <v>20</v>
      </c>
      <c r="BN14" s="50">
        <f xml:space="preserve"> MIN( MAX( BN15:BN22 ), ROUNDDOWN(LOOKUP(Comp,Tables!$C$203:$C$215,Tables!$B$203:$B$215),0), PPNoDrop )</f>
        <v>2</v>
      </c>
      <c r="BO14" s="50">
        <f xml:space="preserve"> MIN( MAX( BO15:BO22 ), PPNoDrop )</f>
        <v>2</v>
      </c>
      <c r="BP14" s="50">
        <f t="shared" ref="BP14:BQ14" si="27" xml:space="preserve"> MAX( BP15:BP22 )</f>
        <v>2</v>
      </c>
      <c r="BQ14" s="50">
        <f t="shared" si="27"/>
        <v>2</v>
      </c>
      <c r="BT14" s="115"/>
      <c r="BU14" s="115"/>
      <c r="BV14" s="115"/>
      <c r="BW14" s="115"/>
      <c r="BX14" s="50">
        <f t="shared" ref="BX14" si="28" xml:space="preserve"> MAX( BX15:BX22 )</f>
        <v>20</v>
      </c>
      <c r="BY14" s="50">
        <f xml:space="preserve"> MIN( MAX( BY15:BY22 ), ROUNDDOWN(LOOKUP(Comp,Tables!$C$203:$C$215,Tables!$B$203:$B$215),0), PPWithDrop )</f>
        <v>2</v>
      </c>
      <c r="BZ14" s="50">
        <f xml:space="preserve"> MIN( MAX( BZ15:BZ22 ), PPWithDrop )</f>
        <v>2</v>
      </c>
      <c r="CA14" s="50">
        <f t="shared" ref="CA14:CB14" si="29" xml:space="preserve"> MAX( CA15:CA22 )</f>
        <v>2</v>
      </c>
      <c r="CB14" s="50">
        <f t="shared" si="29"/>
        <v>2</v>
      </c>
    </row>
    <row r="15" spans="1:93" ht="10" customHeight="1">
      <c r="A15" s="127" t="str">
        <f xml:space="preserve"> IF( AO8&gt;0, AO8-BF14, "" )</f>
        <v/>
      </c>
      <c r="C15" s="34"/>
      <c r="D15" s="34"/>
      <c r="E15" s="34"/>
      <c r="F15" s="36"/>
      <c r="G15" s="25" t="str">
        <f xml:space="preserve"> IF( AO8&gt;0, AO8-BF14, "" )</f>
        <v/>
      </c>
      <c r="H15" s="25"/>
      <c r="I15" s="37"/>
      <c r="J15" s="20"/>
      <c r="K15" s="25"/>
      <c r="L15" s="102"/>
      <c r="S15" s="116" t="str">
        <f t="shared" si="15"/>
        <v>[tr][td][/td][td][/td][td][/td][td][/td][td][/td][td][/td][td][/td][td][/td][td][/td][/tr]</v>
      </c>
      <c r="T15" s="116" t="str">
        <f t="shared" si="4"/>
        <v xml:space="preserve"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                                                                 </v>
      </c>
      <c r="U15" s="116" t="str">
        <f xml:space="preserve"> IF( G15&lt;&gt;0, CONCATENATE(  newline &amp; V15 &amp; W15 &amp; X15 &amp; Y15 &amp; Z15 &amp; AA15 &amp; AB15 &amp; AC15 &amp; AD15 &amp; AE15 &amp; AF15 &amp; AG15 ), "" )</f>
        <v xml:space="preserve">
                                                                 </v>
      </c>
      <c r="V15" s="116" t="str">
        <f xml:space="preserve"> IF( N(A15)&lt;&gt;0, "Engineering", "" )</f>
        <v/>
      </c>
      <c r="W15" s="116" t="str">
        <f t="shared" si="8"/>
        <v xml:space="preserve">                    </v>
      </c>
      <c r="X15" s="117" t="str">
        <f t="shared" si="22"/>
        <v/>
      </c>
      <c r="Y15" s="116" t="str">
        <f t="shared" si="9"/>
        <v xml:space="preserve">               </v>
      </c>
      <c r="Z15" s="117" t="str">
        <f t="shared" si="10"/>
        <v xml:space="preserve">     </v>
      </c>
      <c r="AA15" s="117" t="str">
        <f t="shared" si="16"/>
        <v/>
      </c>
      <c r="AB15" s="117" t="str">
        <f t="shared" si="14"/>
        <v xml:space="preserve">     </v>
      </c>
      <c r="AC15" s="117" t="str">
        <f t="shared" si="17"/>
        <v/>
      </c>
      <c r="AD15" s="117" t="str">
        <f t="shared" si="12"/>
        <v xml:space="preserve">          </v>
      </c>
      <c r="AE15" s="117" t="str">
        <f t="shared" si="18"/>
        <v/>
      </c>
      <c r="AF15" s="116" t="str">
        <f t="shared" si="13"/>
        <v xml:space="preserve">          </v>
      </c>
      <c r="AG15" s="117" t="str">
        <f t="shared" si="19"/>
        <v/>
      </c>
      <c r="AH15" s="16" t="str">
        <f>""</f>
        <v/>
      </c>
      <c r="AL15" s="100"/>
      <c r="AM15" s="100"/>
      <c r="AP15" s="106"/>
      <c r="AQ15" s="106"/>
      <c r="AU15" s="105"/>
      <c r="AV15" s="105"/>
      <c r="AW15" s="105"/>
      <c r="AY15" s="105"/>
      <c r="AZ15" s="115"/>
      <c r="BA15" s="99"/>
      <c r="BB15" s="99"/>
      <c r="BC15" s="99"/>
      <c r="BT15" s="115"/>
      <c r="BU15" s="115"/>
      <c r="BV15" s="115"/>
      <c r="BW15" s="115"/>
      <c r="BY15" s="115"/>
      <c r="BZ15" s="115"/>
      <c r="CA15" s="115"/>
    </row>
    <row r="16" spans="1:93" ht="10" customHeight="1">
      <c r="A16" s="47">
        <f xml:space="preserve"> 1*OR(G16&lt;0,CO16&gt;0)</f>
        <v>0</v>
      </c>
      <c r="B16" s="105" t="str">
        <f xml:space="preserve"> IF(  OR( LBB&gt;0, C16&lt;0 ),  AT16,  ""  )</f>
        <v/>
      </c>
      <c r="C16" s="48">
        <f xml:space="preserve"> 1 * (D16&gt;0)</f>
        <v>1</v>
      </c>
      <c r="D16" s="49">
        <f xml:space="preserve"> 2*(Hull&gt;=100)</f>
        <v>2</v>
      </c>
      <c r="E16" s="34"/>
      <c r="F16" s="36">
        <f>INT(  IF(  Tonnage&gt;=100,  BA16,  0  )  )</f>
        <v>2</v>
      </c>
      <c r="G16" s="25">
        <f xml:space="preserve"> ABS(C16) * IF(  OR( LBB&gt;0, C16&lt;=0 ),  AV16,  AM16*AI16/100  )</f>
        <v>3</v>
      </c>
      <c r="H16" s="25">
        <f xml:space="preserve"> IF(  OR( LBB&gt;0, C16&lt;=0 ),  ABS(C16)*AW16,  G16*4  )</f>
        <v>12</v>
      </c>
      <c r="I16" s="37"/>
      <c r="J16" s="136" t="s">
        <v>20</v>
      </c>
      <c r="K16" s="25">
        <f>G16/IF(AND(Tonnage&gt;1000,LBB&lt;=0),100,35)</f>
        <v>8.5714285714285715E-2</v>
      </c>
      <c r="L16" s="102">
        <f t="shared" si="20"/>
        <v>12</v>
      </c>
      <c r="M16" s="27"/>
      <c r="N16" s="27"/>
      <c r="O16" s="27"/>
      <c r="P16" s="27"/>
      <c r="Q16" s="27"/>
      <c r="R16" s="27"/>
      <c r="S16" s="116" t="str">
        <f xml:space="preserve"> CONCATENATE(  "[tr]",  "[td]","Jump drive","[/td]", "[td]",B16,"[/td]", "[td]",C16,"[/td]", "[td]",D16,"[/td]", "[td]",E16,"[/td]", "[td]",F16,"[/td]", "[td]",IF(G16&lt;&gt;0,G16,""),"[/td]", "[td]",IF(H16&lt;&gt;0,H16,""),"[/td]", "[td]",IF(I16&lt;&gt;0,I16,""),"[/td]",  "[/tr]" )</f>
        <v>[tr][td]Jump drive[/td][td][/td][td]1[/td][td]2[/td][td][/td][td]2[/td][td]3[/td][td]12[/td][td][/td][/tr]</v>
      </c>
      <c r="T16" s="116" t="str">
        <f t="shared" si="4"/>
        <v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</v>
      </c>
      <c r="U16" s="116" t="str">
        <f xml:space="preserve"> IF( IFERROR(G16,0)&gt;0, CONCATENATE(  newline &amp; V16 &amp; W16 &amp; X16 &amp; Y16 &amp; Z16 &amp; AA16 &amp; AB16 &amp; AC16 &amp; AD16 &amp; AE16 &amp; AF16 &amp; AG16 ), "" )</f>
        <v xml:space="preserve">
Jump Drive                             2    1         3        12</v>
      </c>
      <c r="V16" s="116" t="s">
        <v>214</v>
      </c>
      <c r="W16" s="116" t="str">
        <f t="shared" si="8"/>
        <v xml:space="preserve">          </v>
      </c>
      <c r="X16" s="117" t="str">
        <f t="shared" si="22"/>
        <v/>
      </c>
      <c r="Y16" s="116" t="str">
        <f t="shared" si="9"/>
        <v xml:space="preserve">               </v>
      </c>
      <c r="Z16" s="117" t="str">
        <f t="shared" si="10"/>
        <v xml:space="preserve">    </v>
      </c>
      <c r="AA16" s="117">
        <f t="shared" si="16"/>
        <v>2</v>
      </c>
      <c r="AB16" s="117" t="str">
        <f t="shared" si="14"/>
        <v xml:space="preserve">    </v>
      </c>
      <c r="AC16" s="117">
        <f xml:space="preserve"> IF( C16&lt;&gt;0, ABS(C16), "" )</f>
        <v>1</v>
      </c>
      <c r="AD16" s="117" t="str">
        <f t="shared" si="12"/>
        <v xml:space="preserve">         </v>
      </c>
      <c r="AE16" s="117">
        <f t="shared" si="18"/>
        <v>3</v>
      </c>
      <c r="AF16" s="116" t="str">
        <f t="shared" si="13"/>
        <v xml:space="preserve">        </v>
      </c>
      <c r="AG16" s="117">
        <f t="shared" si="19"/>
        <v>12</v>
      </c>
      <c r="AH16" s="16" t="str">
        <f>""</f>
        <v/>
      </c>
      <c r="AI16" s="105">
        <f xml:space="preserve"> IF( $J16=$BN$9, Hull, TotalTonnage )</f>
        <v>100</v>
      </c>
      <c r="AJ16" s="105">
        <f xml:space="preserve"> MIN( INT(D16), AL16 )</f>
        <v>2</v>
      </c>
      <c r="AK16" s="105">
        <f xml:space="preserve"> MIN( AL16, IF( C16&lt;0, AX16, AJ16 ) )</f>
        <v>2</v>
      </c>
      <c r="AL16" s="16">
        <f xml:space="preserve"> VLOOKUP( IF(AND(OR(C16&lt;0,LBB&gt;0),StandardDriveLimitedByTL&lt;=0),15,$L16), Tables!$A$112:$C$118, 2 )</f>
        <v>3</v>
      </c>
      <c r="AM16" s="16">
        <f>VLOOKUP(F16,Tables!$B$112:$C$118,2)</f>
        <v>3</v>
      </c>
      <c r="AO16" s="100"/>
      <c r="AP16" s="106"/>
      <c r="AQ16" s="106"/>
      <c r="AR16" s="100">
        <f xml:space="preserve"> IF( StandardDriveLimitedByTL, $L16, 15 )</f>
        <v>12</v>
      </c>
      <c r="AS16" s="50" t="str">
        <f>VLOOKUP(AI16,Tables!$A$123:$I$134,ROUNDUP(3+AJ16,0))</f>
        <v>A</v>
      </c>
      <c r="AT16" s="50" t="str">
        <f xml:space="preserve"> IF( E16&lt;&gt;"", IF( CODE(UPPER(E16))&gt;CODE(AS16), UPPER(E16), AS16 ), AS16 )</f>
        <v>A</v>
      </c>
      <c r="AU16" s="16">
        <f>VLOOKUP($AT16,Tables!$A$155:$H$179,2)</f>
        <v>9</v>
      </c>
      <c r="AV16" s="16">
        <f>IF($AR16&gt;=$AU16,VLOOKUP($AT16,Tables!$A$155:$H$179,3),-1)</f>
        <v>10</v>
      </c>
      <c r="AW16" s="16">
        <f>IF($AR16&gt;=$AU16,VLOOKUP($AT16,Tables!$A$155:$H$179,4),-1)</f>
        <v>10</v>
      </c>
      <c r="AX16" s="50">
        <f xml:space="preserve"> IFERROR( VLOOKUP( AI16, Tables!$A$139:$AB$150, 3+VLOOKUP( AT16, Tables!$A$3:$B$37, 2 )-9 ), 0 )</f>
        <v>2</v>
      </c>
      <c r="AY16" s="50">
        <f xml:space="preserve"> IF( AZ16=MAX(AZ15:AZ22), BA16, 0 )</f>
        <v>2</v>
      </c>
      <c r="AZ16" s="115">
        <f xml:space="preserve"> AI16 * BA16 * 10%</f>
        <v>20</v>
      </c>
      <c r="BA16" s="42">
        <f xml:space="preserve"> (C16&lt;&gt;0)*AK16*(AND(C16&lt;0,AV16&lt;0)=FALSE) * (Hull&gt;=100)</f>
        <v>2</v>
      </c>
      <c r="BF16" s="25">
        <f>G16</f>
        <v>3</v>
      </c>
      <c r="BI16" s="16">
        <f xml:space="preserve"> MAX( 0, $G16 / Hull * 100 )</f>
        <v>3</v>
      </c>
      <c r="BJ16" s="16">
        <f xml:space="preserve"> MIN( LOOKUP(BI16,Tables!$C$112:$C$118,Tables!$B$112:$B$118), VLOOKUP($L16,Tables!$A$112:$C$118,2) )</f>
        <v>2</v>
      </c>
      <c r="BL16" s="16">
        <f xml:space="preserve"> MIN( IFERROR( HLOOKUP( $B16, Tables!$C$138:$AB$150, VLOOKUP( Hull, Tables!$A$139:$AC$150, 29 ) ), -1 ), $AL16+10*(StandardDriveLimitedByTL&lt;=0) )</f>
        <v>-1</v>
      </c>
      <c r="BM16" s="16">
        <f xml:space="preserve"> Hull * BN16 * 10%</f>
        <v>20</v>
      </c>
      <c r="BN16" s="16">
        <f xml:space="preserve"> IF( BL16&lt;0, BJ16, BL16 )</f>
        <v>2</v>
      </c>
      <c r="BT16" s="115">
        <f xml:space="preserve"> MAX( 0, $G16 / TotalTonnage * 100 )</f>
        <v>3</v>
      </c>
      <c r="BU16" s="115">
        <f xml:space="preserve"> MIN( LOOKUP(BT16,Tables!$C$112:$C$118,Tables!$B$112:$B$118), VLOOKUP($L16,Tables!$A$112:$C$118,2) )</f>
        <v>2</v>
      </c>
      <c r="BV16" s="115"/>
      <c r="BW16" s="115">
        <f xml:space="preserve"> MIN( IFERROR( HLOOKUP( $B16, Tables!$C$138:$AB$150, VLOOKUP( TotalTonnage, Tables!$A$139:$AC$150, 29 ) ), -1 ), $AL16+10*(StandardDriveLimitedByTL&lt;=0) )</f>
        <v>-1</v>
      </c>
      <c r="BX16" s="115">
        <f xml:space="preserve"> TotalTonnage * BY16 * 10%</f>
        <v>20</v>
      </c>
      <c r="BY16" s="115">
        <f xml:space="preserve"> IF( BW16&lt;0, BU16, BW16 )</f>
        <v>2</v>
      </c>
      <c r="BZ16" s="115"/>
      <c r="CA16" s="115"/>
      <c r="CO16" s="16">
        <f xml:space="preserve"> 1*(BN16 &gt; PPNnDrop)</f>
        <v>0</v>
      </c>
    </row>
    <row r="17" spans="1:93" ht="10" customHeight="1">
      <c r="A17" s="51">
        <f xml:space="preserve"> 1*OR(G17&lt;0,CO17&gt;0)</f>
        <v>0</v>
      </c>
      <c r="B17" s="16" t="str">
        <f xml:space="preserve"> IF(  OR( LBB&gt;0, C17&lt;0 ),  AT17,  ""  )</f>
        <v>A</v>
      </c>
      <c r="C17" s="48">
        <f xml:space="preserve"> IF( D17&gt;0, IF( AND( Hull&lt;=400, Hull&gt;=100), -1, 1 ), 0 )</f>
        <v>-1</v>
      </c>
      <c r="D17" s="52">
        <v>2</v>
      </c>
      <c r="E17" s="34"/>
      <c r="F17" s="36">
        <f xml:space="preserve"> BB17</f>
        <v>2</v>
      </c>
      <c r="G17" s="25">
        <f xml:space="preserve"> ABS(C17) * IF(  OR( LBB&gt;0, C17&lt;=0 ),  AV17,  MAX(1,AM17*AI17/100)  )</f>
        <v>1</v>
      </c>
      <c r="H17" s="25">
        <f xml:space="preserve">  IF(  OR( LBB&gt;0, C17&lt;=0 ),  ABS(C17)*AW17,  G17*(0.5+0.2*(Man&lt;3)+0.8*(Man&lt;2))  )</f>
        <v>4</v>
      </c>
      <c r="I17" s="37"/>
      <c r="J17" s="136" t="s">
        <v>20</v>
      </c>
      <c r="K17" s="25">
        <f>G17/IF(AND(Tonnage&gt;1000,LBB&lt;=0),100,35)</f>
        <v>2.8571428571428571E-2</v>
      </c>
      <c r="L17" s="102">
        <f t="shared" si="20"/>
        <v>12</v>
      </c>
      <c r="M17" s="53"/>
      <c r="N17" s="53"/>
      <c r="O17" s="53"/>
      <c r="P17" s="53"/>
      <c r="Q17" s="53"/>
      <c r="R17" s="53"/>
      <c r="S17" s="116" t="str">
        <f xml:space="preserve"> CONCATENATE(  "[tr]",  "[td]","Manœuvre D","[/td]", "[td]",B17,"[/td]", "[td]",C17,"[/td]", "[td]",D17,"[/td]", "[td]",E17,"[/td]", "[td]",F17,"[/td]", "[td]",IF(G17&lt;&gt;0,G17,""),"[/td]", "[td]",IF(H17&lt;&gt;0,H17,""),"[/td]", "[td]",IF(I17&lt;&gt;0,I17,""),"[/td]",  "[/tr]" )</f>
        <v>[tr][td]Manœuvre D[/td][td]A[/td][td]-1[/td][td]2[/td][td][/td][td]2[/td][td]1[/td][td]4[/td][td][/td][/tr]</v>
      </c>
      <c r="T17" s="116" t="str">
        <f t="shared" si="4"/>
        <v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</v>
      </c>
      <c r="U17" s="116" t="str">
        <f t="shared" si="6"/>
        <v xml:space="preserve">
Manoeuvre D         A                  2    1         1         4</v>
      </c>
      <c r="V17" s="116" t="s">
        <v>70</v>
      </c>
      <c r="W17" s="116" t="str">
        <f t="shared" si="8"/>
        <v xml:space="preserve">         </v>
      </c>
      <c r="X17" s="117" t="str">
        <f t="shared" si="22"/>
        <v>A</v>
      </c>
      <c r="Y17" s="116" t="str">
        <f t="shared" si="9"/>
        <v xml:space="preserve">              </v>
      </c>
      <c r="Z17" s="117" t="str">
        <f t="shared" si="10"/>
        <v xml:space="preserve">    </v>
      </c>
      <c r="AA17" s="117">
        <f t="shared" si="16"/>
        <v>2</v>
      </c>
      <c r="AB17" s="117" t="str">
        <f t="shared" si="14"/>
        <v xml:space="preserve">    </v>
      </c>
      <c r="AC17" s="117">
        <f xml:space="preserve"> IF( C17&lt;&gt;0, ABS(C17), "" )</f>
        <v>1</v>
      </c>
      <c r="AD17" s="117" t="str">
        <f t="shared" si="12"/>
        <v xml:space="preserve">         </v>
      </c>
      <c r="AE17" s="117">
        <f t="shared" si="18"/>
        <v>1</v>
      </c>
      <c r="AF17" s="116" t="str">
        <f t="shared" si="13"/>
        <v xml:space="preserve">         </v>
      </c>
      <c r="AG17" s="117">
        <f t="shared" si="19"/>
        <v>4</v>
      </c>
      <c r="AH17" s="16" t="str">
        <f>""</f>
        <v/>
      </c>
      <c r="AI17" s="115">
        <f t="shared" ref="AI17:AI19" si="30" xml:space="preserve"> IF( $J17=$BN$9, Hull, TotalTonnage )</f>
        <v>100</v>
      </c>
      <c r="AJ17" s="107">
        <f xml:space="preserve"> MIN( INT(D17), AL17 )</f>
        <v>2</v>
      </c>
      <c r="AK17" s="105">
        <f xml:space="preserve"> MIN( AL17, IF( C17&lt;0, AX17, AJ17 ) )</f>
        <v>2</v>
      </c>
      <c r="AL17" s="16">
        <f>VLOOKUP(IF(AND(OR(C17&lt;0,LBB&gt;0),StandardDriveLimitedByTL&lt;=0),15,$L17),Tables!$E$112:$G$118,2)</f>
        <v>6</v>
      </c>
      <c r="AM17" s="16">
        <f>VLOOKUP(F17,Tables!$F$112:$G$118,2)</f>
        <v>5</v>
      </c>
      <c r="AO17" s="100"/>
      <c r="AP17" s="106"/>
      <c r="AQ17" s="106"/>
      <c r="AR17" s="100">
        <f xml:space="preserve"> IF( StandardDriveLimitedByTL, $L17, 15 )</f>
        <v>12</v>
      </c>
      <c r="AS17" s="50" t="str">
        <f>VLOOKUP(AI17,Tables!$A$123:$I$134,ROUNDUP(3+AJ17,0))</f>
        <v>A</v>
      </c>
      <c r="AT17" s="50" t="str">
        <f xml:space="preserve"> IF( E17&lt;&gt;"", IF( CODE(UPPER(E17))&gt;CODE(AS17), UPPER(E17), AS17 ), AS17 )</f>
        <v>A</v>
      </c>
      <c r="AU17" s="16">
        <f>VLOOKUP($AT17,Tables!$A$155:$H$179,2)</f>
        <v>9</v>
      </c>
      <c r="AV17" s="16">
        <f>IF($AR17&gt;=$AU17,VLOOKUP($AT17,Tables!$A$155:$H$179,5),-1)</f>
        <v>1</v>
      </c>
      <c r="AW17" s="16">
        <f>IF($AR17&gt;=$AU17,VLOOKUP($AT17,Tables!$A$155:$H$179,6),-1)</f>
        <v>4</v>
      </c>
      <c r="AX17" s="50">
        <f xml:space="preserve"> IFERROR( VLOOKUP( AI17, Tables!$A$139:$AB$150, 3+VLOOKUP( AT17, Tables!$A$3:$B$37, 2 )-9 ), 0 )</f>
        <v>2</v>
      </c>
      <c r="AY17" s="50"/>
      <c r="AZ17" s="50"/>
      <c r="BB17" s="42">
        <f xml:space="preserve"> (C17&lt;&gt;0)*AK17*(AND(C17&lt;0,AV17&lt;0)=FALSE)</f>
        <v>2</v>
      </c>
      <c r="BF17" s="25">
        <f>G17</f>
        <v>1</v>
      </c>
      <c r="BI17" s="115">
        <f xml:space="preserve"> MAX( 0, $G17 / Hull * 100 )</f>
        <v>1</v>
      </c>
      <c r="BJ17" s="16">
        <f xml:space="preserve"> MIN( LOOKUP(BI17,Tables!$G$112:$G$118,Tables!$F$112:$F$118), VLOOKUP($L17,Tables!$E$112:$G$118,2) )</f>
        <v>0</v>
      </c>
      <c r="BL17" s="115">
        <f xml:space="preserve"> MIN( IFERROR( HLOOKUP( $B17, Tables!$C$138:$AB$150, VLOOKUP( Hull, Tables!$A$139:$AC$150, 29 ) ), -1 ), $AL17+10*(StandardDriveLimitedByTL&lt;=0) )</f>
        <v>2</v>
      </c>
      <c r="BO17" s="16">
        <f xml:space="preserve"> IF( BL17&lt;0, BJ17, BL17 )</f>
        <v>2</v>
      </c>
      <c r="BT17" s="115">
        <f xml:space="preserve"> MAX( 0, $G17 / TotalTonnage * 100 )</f>
        <v>1</v>
      </c>
      <c r="BU17" s="115">
        <f xml:space="preserve"> MIN( LOOKUP(BT17,Tables!$G$112:$G$118,Tables!$F$112:$F$118), VLOOKUP($L17,Tables!$E$112:$G$118,2) )</f>
        <v>0</v>
      </c>
      <c r="BV17" s="115"/>
      <c r="BW17" s="115">
        <f xml:space="preserve"> MIN( IFERROR( HLOOKUP( $B17, Tables!$C$138:$AB$150, VLOOKUP( TotalTonnage, Tables!$A$139:$AC$150, 29 ) ), -1 ), $AL17+10*(StandardDriveLimitedByTL&lt;=0) )</f>
        <v>2</v>
      </c>
      <c r="BY17" s="115"/>
      <c r="BZ17" s="115">
        <f xml:space="preserve"> IF( BW17&lt;0, BU17, BW17 )</f>
        <v>2</v>
      </c>
      <c r="CA17" s="115"/>
      <c r="CO17" s="115">
        <f xml:space="preserve"> 1*(BO17 &gt; PPNnDrop)*(G17&gt;1)</f>
        <v>0</v>
      </c>
    </row>
    <row r="18" spans="1:93" ht="10" customHeight="1">
      <c r="A18" s="54">
        <f xml:space="preserve"> 1*(Agility&lt;0)</f>
        <v>0</v>
      </c>
      <c r="B18" s="55">
        <f xml:space="preserve"> IF(  LBB&gt;0, MIN(Man,PP),  ROUNDDOWN(  MIN( Man, (EPNoDrop + SUM(I9:I67) - I18 )/AI18*100 ),  0  )  )</f>
        <v>2</v>
      </c>
      <c r="C18" s="34"/>
      <c r="D18" s="56">
        <f>IF( AND( LBB&lt;=0, Military&gt;0 ),  Man,  0  )</f>
        <v>0</v>
      </c>
      <c r="E18" s="34"/>
      <c r="F18" s="36"/>
      <c r="G18" s="25"/>
      <c r="H18" s="25"/>
      <c r="I18" s="37">
        <f xml:space="preserve"> - MIN( D18, Man ) * AI18 / 100</f>
        <v>0</v>
      </c>
      <c r="J18" s="136" t="s">
        <v>20</v>
      </c>
      <c r="K18" s="25">
        <v>0</v>
      </c>
      <c r="L18" s="102"/>
      <c r="M18" s="53"/>
      <c r="N18" s="53"/>
      <c r="O18" s="53"/>
      <c r="P18" s="53"/>
      <c r="Q18" s="53"/>
      <c r="R18" s="53"/>
      <c r="S18" s="116" t="str">
        <f xml:space="preserve"> CONCATENATE(  "[tr]",  "[td]","Agility","[/td]", "[td]",B18,"[/td]", "[td]",C18,"[/td]", "[td]",D18,"[/td]", "[td]",E18,"[/td]", "[td]",F18,"[/td]", "[td]",IF(G18&lt;&gt;0,G18,""),"[/td]", "[td]",IF(H18&lt;&gt;0,H18,""),"[/td]", "[td]",IF(I18&lt;&gt;0,I18,""),"[/td]",  "[/tr]" )</f>
        <v>[tr][td]Agility[/td][td]2[/td][td][/td][td]0[/td][td][/td][td][/td][td][/td][td][/td][td][/td][/tr]</v>
      </c>
      <c r="T18" s="116" t="str">
        <f t="shared" si="4"/>
        <v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</v>
      </c>
      <c r="U18" s="116" t="str">
        <f>""</f>
        <v/>
      </c>
      <c r="V18" s="116" t="s">
        <v>211</v>
      </c>
      <c r="W18" s="116" t="str">
        <f t="shared" si="8"/>
        <v xml:space="preserve">             </v>
      </c>
      <c r="X18" s="117">
        <f t="shared" si="22"/>
        <v>2</v>
      </c>
      <c r="Y18" s="116" t="str">
        <f t="shared" si="9"/>
        <v xml:space="preserve">              </v>
      </c>
      <c r="Z18" s="117" t="str">
        <f t="shared" si="10"/>
        <v xml:space="preserve">     </v>
      </c>
      <c r="AA18" s="117" t="str">
        <f t="shared" si="16"/>
        <v/>
      </c>
      <c r="AB18" s="117" t="str">
        <f t="shared" si="14"/>
        <v xml:space="preserve">     </v>
      </c>
      <c r="AC18" s="117" t="str">
        <f t="shared" si="17"/>
        <v/>
      </c>
      <c r="AD18" s="117" t="str">
        <f t="shared" si="12"/>
        <v xml:space="preserve">          </v>
      </c>
      <c r="AE18" s="117" t="str">
        <f t="shared" si="18"/>
        <v/>
      </c>
      <c r="AF18" s="116" t="str">
        <f t="shared" si="13"/>
        <v xml:space="preserve">          </v>
      </c>
      <c r="AG18" s="117" t="str">
        <f t="shared" si="19"/>
        <v/>
      </c>
      <c r="AH18" s="16" t="str">
        <f>""</f>
        <v/>
      </c>
      <c r="AI18" s="115">
        <f t="shared" si="30"/>
        <v>100</v>
      </c>
      <c r="AJ18" s="105"/>
      <c r="AK18" s="105"/>
      <c r="AN18" s="50" t="s">
        <v>354</v>
      </c>
      <c r="AO18" s="50" t="s">
        <v>171</v>
      </c>
      <c r="AP18" s="50" t="s">
        <v>170</v>
      </c>
      <c r="AQ18" s="50" t="s">
        <v>161</v>
      </c>
      <c r="AR18" s="100"/>
      <c r="AS18" s="50"/>
      <c r="AT18" s="50"/>
      <c r="AY18" s="105"/>
      <c r="AZ18" s="105"/>
      <c r="BM18" s="50"/>
      <c r="BN18" s="50"/>
      <c r="BT18" s="115"/>
      <c r="BU18" s="115"/>
      <c r="BV18" s="115"/>
      <c r="BW18" s="115"/>
      <c r="BY18" s="50"/>
      <c r="BZ18" s="115"/>
      <c r="CA18" s="115"/>
      <c r="CE18" s="23" t="s">
        <v>369</v>
      </c>
      <c r="CF18" s="39">
        <f>VLOOKUP(  Tonnage,  Tables!B42:E74,  4 )</f>
        <v>1</v>
      </c>
    </row>
    <row r="19" spans="1:93" ht="10" customHeight="1">
      <c r="A19" s="57">
        <f xml:space="preserve"> 1*(G19&lt;=0)</f>
        <v>0</v>
      </c>
      <c r="B19" s="16" t="str">
        <f xml:space="preserve"> IF(  OR( LBB&gt;0, C19&lt;0 ),  AT19,  ""  )</f>
        <v/>
      </c>
      <c r="C19" s="48">
        <f xml:space="preserve"> 1 * (D19&gt;0)</f>
        <v>1</v>
      </c>
      <c r="D19" s="58">
        <f xml:space="preserve"> MAX(  -SUM($I$9:$I$67)*(LBB&lt;=0),   MAX(Jump,Man)*AI19/100,  1/AM19   )/AI19*100</f>
        <v>2</v>
      </c>
      <c r="E19" s="34"/>
      <c r="F19" s="36">
        <f xml:space="preserve"> ROUNDDOWN( BC19, 0 )</f>
        <v>2</v>
      </c>
      <c r="G19" s="25">
        <f xml:space="preserve"> ABS(C19) * IF(  OR( LBB&gt;0, C19&lt;=0 ),  AV19,  MAX(1,AK19*AI19/100*AM19)  )</f>
        <v>6</v>
      </c>
      <c r="H19" s="25">
        <f xml:space="preserve">  IF(  OR( LBB&gt;0, C19&lt;=0 ),  ABS(C19)*AW19,  G19*3  )</f>
        <v>18</v>
      </c>
      <c r="I19" s="37"/>
      <c r="J19" s="136" t="s">
        <v>20</v>
      </c>
      <c r="K19" s="25">
        <f>G19/IF(AND(Tonnage&gt;1000,LBB&lt;=0),100,35)</f>
        <v>0.17142857142857143</v>
      </c>
      <c r="L19" s="102">
        <f t="shared" si="20"/>
        <v>12</v>
      </c>
      <c r="S19" s="116" t="str">
        <f xml:space="preserve"> CONCATENATE(  "[tr]",  "[td]","Power Plant","[/td]", "[td]",B19,"[/td]", "[td]",C19,"[/td]", "[td]",D19,"[/td]", "[td]",E19,"[/td]", "[td]",F19,"[/td]", "[td]",IF(G19&lt;&gt;0,G19,""),"[/td]", "[td]",IF(H19&lt;&gt;0,H19,""),"[/td]", "[td]",IF(I19&lt;&gt;0,I19,""),"[/td]",  "[/tr]" )</f>
        <v>[tr][td]Power Plant[/td][td][/td][td]1[/td][td]2[/td][td][/td][td]2[/td][td]6[/td][td]18[/td][td][/td][/tr]</v>
      </c>
      <c r="T19" s="116" t="str">
        <f t="shared" si="4"/>
        <v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</v>
      </c>
      <c r="U19" s="116" t="str">
        <f t="shared" si="6"/>
        <v xml:space="preserve">
Power Plant                            2    1         6        18</v>
      </c>
      <c r="V19" s="116" t="s">
        <v>212</v>
      </c>
      <c r="W19" s="116" t="str">
        <f t="shared" si="8"/>
        <v xml:space="preserve">         </v>
      </c>
      <c r="X19" s="117" t="str">
        <f t="shared" si="22"/>
        <v/>
      </c>
      <c r="Y19" s="116" t="str">
        <f t="shared" si="9"/>
        <v xml:space="preserve">               </v>
      </c>
      <c r="Z19" s="117" t="str">
        <f t="shared" si="10"/>
        <v xml:space="preserve">    </v>
      </c>
      <c r="AA19" s="117">
        <f t="shared" si="16"/>
        <v>2</v>
      </c>
      <c r="AB19" s="117" t="str">
        <f t="shared" si="14"/>
        <v xml:space="preserve">    </v>
      </c>
      <c r="AC19" s="117">
        <f xml:space="preserve"> IF( C19&lt;&gt;0, ABS(C19), "" )</f>
        <v>1</v>
      </c>
      <c r="AD19" s="117" t="str">
        <f t="shared" si="12"/>
        <v xml:space="preserve">         </v>
      </c>
      <c r="AE19" s="117">
        <f t="shared" si="18"/>
        <v>6</v>
      </c>
      <c r="AF19" s="116" t="str">
        <f t="shared" si="13"/>
        <v xml:space="preserve">        </v>
      </c>
      <c r="AG19" s="117">
        <f t="shared" si="19"/>
        <v>18</v>
      </c>
      <c r="AH19" s="16" t="str">
        <f>""</f>
        <v/>
      </c>
      <c r="AI19" s="115">
        <f t="shared" si="30"/>
        <v>100</v>
      </c>
      <c r="AJ19" s="27">
        <f xml:space="preserve"> MAX( D19, 0 )</f>
        <v>2</v>
      </c>
      <c r="AK19" s="105">
        <f xml:space="preserve"> IF( C19&lt;0, AX19, AJ19 )</f>
        <v>2</v>
      </c>
      <c r="AL19" s="16">
        <f>L19</f>
        <v>12</v>
      </c>
      <c r="AM19" s="16">
        <f>VLOOKUP(AL19,Tables!$I$112:$J$116,2)</f>
        <v>3</v>
      </c>
      <c r="AN19" s="23">
        <f xml:space="preserve"> (C19&lt;&gt;0)*MAX(  -SUM($I$9:$I$67),   MAX(Jump,Man)*AI19/100,  1/AM19   )</f>
        <v>2</v>
      </c>
      <c r="AO19" s="108">
        <f xml:space="preserve"> AN19*100/AI19</f>
        <v>2</v>
      </c>
      <c r="AP19" s="23">
        <f xml:space="preserve"> AK19*AI19/100 * (C19&lt;&gt;0) * (G19&gt;0)</f>
        <v>2</v>
      </c>
      <c r="AQ19" s="23">
        <f xml:space="preserve"> IF( OR(LBB&gt;0,C19&lt;0), MAX(BP19,CA19)*10, AP19 )</f>
        <v>2</v>
      </c>
      <c r="AR19" s="100">
        <f xml:space="preserve"> IF( StandardDriveLimitedByTL, $L19, 15 )</f>
        <v>12</v>
      </c>
      <c r="AS19" s="50" t="str">
        <f xml:space="preserve"> IFERROR( VLOOKUP(AI19,Tables!$A$123:$I$134,ROUNDUP(3+AJ19,0)), 0 )</f>
        <v>A</v>
      </c>
      <c r="AT19" s="50" t="str">
        <f xml:space="preserve"> IF( E19&lt;&gt;"", IF( CODE(UPPER(E19))&gt;CODE(AS19), UPPER(E19), AS19 ), AS19 )</f>
        <v>A</v>
      </c>
      <c r="AU19" s="16">
        <f>VLOOKUP($AT19,Tables!$A$155:$H$179,2)</f>
        <v>9</v>
      </c>
      <c r="AV19" s="16">
        <f>IF($AR19&gt;=$AU19,VLOOKUP($AT19,Tables!$A$155:$H$179,7),-1)</f>
        <v>4</v>
      </c>
      <c r="AW19" s="16">
        <f>IF($AR19&gt;=$AU19,VLOOKUP($AT19,Tables!$A$155:$H$179,8),-1)</f>
        <v>8</v>
      </c>
      <c r="AX19" s="50">
        <f xml:space="preserve"> IFERROR( VLOOKUP( AI19, Tables!$A$139:$AB$150, 3+VLOOKUP( AT19, Tables!$A$3:$B$37, 2 )-9 ), 0 )</f>
        <v>2</v>
      </c>
      <c r="AY19" s="50"/>
      <c r="AZ19" s="50"/>
      <c r="BC19" s="42">
        <f xml:space="preserve"> (C19&lt;&gt;0)*AK19*(AND(C19&lt;0,AV19&lt;0)=FALSE)</f>
        <v>2</v>
      </c>
      <c r="BD19" s="16">
        <f xml:space="preserve"> (C19&lt;&gt;0)*AP19*(AND(C19&lt;0,AV19&lt;0)=FALSE)</f>
        <v>2</v>
      </c>
      <c r="BE19" s="16">
        <f xml:space="preserve"> AQ19</f>
        <v>2</v>
      </c>
      <c r="BF19" s="25">
        <f>G19</f>
        <v>6</v>
      </c>
      <c r="BJ19" s="16">
        <f xml:space="preserve"> ROUNDDOWN( $AP19 / Hull * 100, 0 )</f>
        <v>2</v>
      </c>
      <c r="BL19" s="115">
        <f xml:space="preserve"> MIN( IFERROR( HLOOKUP( $B19, Tables!$C$138:$AB$150, VLOOKUP( Hull, Tables!$A$139:$AC$150, 29 ) ), -1 ), $AL19+10*(StandardDriveLimitedByTL&lt;=0) )</f>
        <v>-1</v>
      </c>
      <c r="BM19" s="50"/>
      <c r="BN19" s="50"/>
      <c r="BP19" s="16">
        <f xml:space="preserve"> IF( BL19&lt;0, BJ19, BL19 )</f>
        <v>2</v>
      </c>
      <c r="BQ19" s="16">
        <f xml:space="preserve"> IF( BL19&lt;0, $AP19, BL19*Hull/100 )</f>
        <v>2</v>
      </c>
      <c r="BT19" s="115"/>
      <c r="BU19" s="115">
        <f xml:space="preserve"> ROUNDDOWN( $AP19 / TotalTonnage * 100, 0 )</f>
        <v>2</v>
      </c>
      <c r="BV19" s="115"/>
      <c r="BW19" s="115">
        <f xml:space="preserve"> MIN( IFERROR( HLOOKUP( $B19, Tables!$C$138:$AB$150, VLOOKUP( TotalTonnage, Tables!$A$139:$AC$150, 29 ) ), -1 ), $AL19+10*(StandardDriveLimitedByTL&lt;=0) )</f>
        <v>-1</v>
      </c>
      <c r="BY19" s="50"/>
      <c r="BZ19" s="115"/>
      <c r="CA19" s="115">
        <f xml:space="preserve"> IF( BW19&lt;0, BU19, BW19 )</f>
        <v>2</v>
      </c>
      <c r="CB19" s="115">
        <f xml:space="preserve"> IF( BW19&lt;0, $AP19, BW19*TotalTonnage/100 )</f>
        <v>2</v>
      </c>
    </row>
    <row r="20" spans="1:93" ht="10" customHeight="1">
      <c r="A20" s="23" t="s">
        <v>164</v>
      </c>
      <c r="C20" s="59">
        <f>1*(D20&gt;0)</f>
        <v>0</v>
      </c>
      <c r="D20" s="60">
        <v>0</v>
      </c>
      <c r="E20" s="34"/>
      <c r="F20" s="36"/>
      <c r="G20" s="25">
        <f>C20*D20/36</f>
        <v>0</v>
      </c>
      <c r="H20" s="25">
        <f>G20*4</f>
        <v>0</v>
      </c>
      <c r="I20" s="37"/>
      <c r="J20" s="20"/>
      <c r="K20" s="25">
        <f>G20/100</f>
        <v>0</v>
      </c>
      <c r="L20" s="102"/>
      <c r="S20" s="116" t="str">
        <f t="shared" si="15"/>
        <v>[tr][td]Capacitor[/td][td][/td][td]0[/td][td]0[/td][td][/td][td][/td][td][/td][td][/td][td][/td][/tr]</v>
      </c>
      <c r="T20" s="116" t="str">
        <f t="shared" si="4"/>
        <v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</v>
      </c>
      <c r="U20" s="116" t="str">
        <f xml:space="preserve"> IF( IFERROR(G20,0)&gt;0, CONCATENATE(  newline &amp; V20 &amp; W20 &amp; X20 &amp; Y20 &amp; Z20 &amp; AA20 &amp; AB20 &amp; AC20 &amp; AD20 &amp; AE20 &amp; AF20 &amp; AG20 ), "" )</f>
        <v/>
      </c>
      <c r="V20" s="116" t="str">
        <f t="shared" si="7"/>
        <v>Capacitor</v>
      </c>
      <c r="W20" s="116" t="str">
        <f t="shared" si="8"/>
        <v xml:space="preserve">           </v>
      </c>
      <c r="X20" s="117" t="str">
        <f xml:space="preserve"> IF( D20&lt;&gt;0, CONCATENATE( D20 &amp; " EP" ), "" )</f>
        <v/>
      </c>
      <c r="Y20" s="116" t="str">
        <f t="shared" si="9"/>
        <v xml:space="preserve">               </v>
      </c>
      <c r="Z20" s="117" t="str">
        <f t="shared" si="10"/>
        <v xml:space="preserve">     </v>
      </c>
      <c r="AA20" s="117" t="str">
        <f t="shared" si="16"/>
        <v/>
      </c>
      <c r="AB20" s="117" t="str">
        <f t="shared" si="14"/>
        <v xml:space="preserve">     </v>
      </c>
      <c r="AC20" s="117" t="str">
        <f t="shared" si="17"/>
        <v/>
      </c>
      <c r="AD20" s="117" t="str">
        <f t="shared" si="12"/>
        <v xml:space="preserve">          </v>
      </c>
      <c r="AE20" s="117" t="str">
        <f t="shared" si="18"/>
        <v/>
      </c>
      <c r="AF20" s="116" t="str">
        <f t="shared" si="13"/>
        <v xml:space="preserve">          </v>
      </c>
      <c r="AG20" s="117" t="str">
        <f t="shared" si="19"/>
        <v/>
      </c>
      <c r="AH20" s="16" t="str">
        <f>""</f>
        <v/>
      </c>
      <c r="AI20" s="105"/>
      <c r="AJ20" s="105"/>
      <c r="AK20" s="105"/>
      <c r="AO20" s="100"/>
      <c r="AP20" s="106"/>
      <c r="AQ20" s="106"/>
      <c r="AR20" s="100"/>
      <c r="AX20" s="50"/>
      <c r="AY20" s="50"/>
      <c r="AZ20" s="50"/>
      <c r="BK20" s="133"/>
      <c r="BL20" s="50"/>
      <c r="BM20" s="50"/>
      <c r="BN20" s="50"/>
      <c r="BO20" s="50"/>
      <c r="BP20" s="50"/>
      <c r="BQ20" s="50"/>
      <c r="CE20" s="23" t="s">
        <v>165</v>
      </c>
      <c r="CF20" s="50" t="str">
        <f>IF(  CF21&gt;0,  VLOOKUP( CF21,  Tables!$B$4:$C$37,  2 ),  " "  )</f>
        <v xml:space="preserve"> </v>
      </c>
      <c r="CG20" s="50" t="str">
        <f>IF(  CG21&gt;0,  VLOOKUP( CG21,  Tables!$B$4:$C$37,  2 ),  " "  )</f>
        <v xml:space="preserve"> </v>
      </c>
      <c r="CH20" s="50" t="str">
        <f>IF(  CH21&gt;0,  VLOOKUP( CH21,  Tables!$B$4:$C$37,  2 ),  " "  )</f>
        <v xml:space="preserve"> </v>
      </c>
      <c r="CI20" s="50" t="str">
        <f>IF(  CI21&gt;0,  VLOOKUP( CI21,  Tables!$B$4:$C$37,  2 ),  " "  )</f>
        <v xml:space="preserve"> </v>
      </c>
      <c r="CJ20" s="50" t="str">
        <f>IF(  CJ21&gt;0,  VLOOKUP( CJ21,  Tables!$B$4:$C$37,  2 ),  " "  )</f>
        <v xml:space="preserve"> </v>
      </c>
      <c r="CK20" s="50" t="str">
        <f>IF(  CK21&gt;0,  VLOOKUP( CK21,  Tables!$B$4:$C$37,  2 ),  " "  )</f>
        <v xml:space="preserve"> </v>
      </c>
      <c r="CL20" s="50" t="str">
        <f>IF(  CL21&gt;0,  VLOOKUP( CL21,  Tables!$B$4:$C$37,  2 ),  " "  )</f>
        <v xml:space="preserve"> </v>
      </c>
    </row>
    <row r="21" spans="1:93" ht="10" customHeight="1">
      <c r="A21" s="23" t="s">
        <v>166</v>
      </c>
      <c r="C21" s="61">
        <f>AY14*(Jump&gt;0)</f>
        <v>2</v>
      </c>
      <c r="D21" s="62">
        <f>IF(  Tonnage&lt;100,  1,  4  )*0 + 4</f>
        <v>4</v>
      </c>
      <c r="E21" s="34"/>
      <c r="F21" s="36"/>
      <c r="G21" s="25">
        <f>MAX( 0, IFERROR(C21/AY14*AZ14,0)-IF(ISERROR(B13),0,B13)-IF(ISERROR(G32),0,G32) )  +  D21*BE14/4</f>
        <v>2</v>
      </c>
      <c r="H21" s="25"/>
      <c r="I21" s="37"/>
      <c r="J21" s="20"/>
      <c r="K21" s="25"/>
      <c r="L21" s="102"/>
      <c r="S21" s="116" t="str">
        <f t="shared" si="15"/>
        <v>[tr][td]Fuel, #J, #weeks[/td][td][/td][td]2[/td][td]4[/td][td][/td][td][/td][td]2[/td][td][/td][td][/td][/tr]</v>
      </c>
      <c r="T21" s="116" t="str">
        <f t="shared" si="4"/>
        <v xml:space="preserve"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</v>
      </c>
      <c r="U21" s="116" t="str">
        <f t="shared" si="6"/>
        <v xml:space="preserve">
Fuel, #J, #weeks    J-2, 4 weeks            2         2          </v>
      </c>
      <c r="V21" s="116" t="str">
        <f t="shared" si="7"/>
        <v>Fuel, #J, #weeks</v>
      </c>
      <c r="W21" s="116" t="str">
        <f t="shared" si="8"/>
        <v xml:space="preserve">    </v>
      </c>
      <c r="X21" s="117" t="str">
        <f xml:space="preserve"> CONCATENATE( "J-" &amp; C21 &amp; ", " &amp; D21 &amp; " weeks" )</f>
        <v>J-2, 4 weeks</v>
      </c>
      <c r="Y21" s="116" t="str">
        <f t="shared" si="9"/>
        <v xml:space="preserve">   </v>
      </c>
      <c r="Z21" s="117" t="str">
        <f t="shared" si="10"/>
        <v xml:space="preserve">     </v>
      </c>
      <c r="AA21" s="117" t="str">
        <f t="shared" si="16"/>
        <v/>
      </c>
      <c r="AB21" s="117" t="str">
        <f t="shared" si="14"/>
        <v xml:space="preserve">    </v>
      </c>
      <c r="AC21" s="117">
        <f t="shared" si="17"/>
        <v>2</v>
      </c>
      <c r="AD21" s="117" t="str">
        <f t="shared" si="12"/>
        <v xml:space="preserve">         </v>
      </c>
      <c r="AE21" s="117">
        <f t="shared" si="18"/>
        <v>2</v>
      </c>
      <c r="AF21" s="116" t="str">
        <f t="shared" si="13"/>
        <v xml:space="preserve">          </v>
      </c>
      <c r="AG21" s="117" t="str">
        <f t="shared" si="19"/>
        <v/>
      </c>
      <c r="AH21" s="16" t="str">
        <f>""</f>
        <v/>
      </c>
      <c r="AI21" s="105"/>
      <c r="AJ21" s="105"/>
      <c r="AK21" s="105"/>
      <c r="AO21" s="100"/>
      <c r="AP21" s="106"/>
      <c r="AQ21" s="106"/>
      <c r="AR21" s="100"/>
      <c r="AY21" s="105"/>
      <c r="AZ21" s="105"/>
      <c r="BK21" s="133"/>
      <c r="BL21" s="50"/>
      <c r="BM21" s="50"/>
      <c r="BN21" s="50"/>
      <c r="BO21" s="50"/>
      <c r="BP21" s="50"/>
      <c r="BQ21" s="50"/>
      <c r="BS21" s="133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23" t="s">
        <v>208</v>
      </c>
      <c r="CF21" s="16">
        <f t="shared" ref="CF21:CL21" si="31">MAX(  1*(CF$25&gt;0),  ROUND( CF25*$CF$18,  0  )  )</f>
        <v>0</v>
      </c>
      <c r="CG21" s="16">
        <f t="shared" si="31"/>
        <v>0</v>
      </c>
      <c r="CH21" s="16">
        <f t="shared" si="31"/>
        <v>0</v>
      </c>
      <c r="CI21" s="16">
        <f t="shared" si="31"/>
        <v>0</v>
      </c>
      <c r="CJ21" s="16">
        <f t="shared" si="31"/>
        <v>0</v>
      </c>
      <c r="CK21" s="16">
        <f t="shared" si="31"/>
        <v>0</v>
      </c>
      <c r="CL21" s="16">
        <f t="shared" si="31"/>
        <v>0</v>
      </c>
    </row>
    <row r="22" spans="1:93" ht="10" customHeight="1">
      <c r="A22" s="23" t="s">
        <v>280</v>
      </c>
      <c r="C22" s="59">
        <f>1*(Tonnage&gt;=100) * (LBB&lt;=0)</f>
        <v>1</v>
      </c>
      <c r="D22" s="34"/>
      <c r="E22" s="34"/>
      <c r="F22" s="36"/>
      <c r="G22" s="25">
        <f>C22*MAX(  (G21+B13+IFERROR(G32,0))*AJ22,  AK22  )</f>
        <v>6</v>
      </c>
      <c r="H22" s="25">
        <f xml:space="preserve"> ROUND( G22*AL22 + (C22&gt;0)*(AO9="Streamlined")*Tonnage*0.001*0, 2 )</f>
        <v>0.03</v>
      </c>
      <c r="I22" s="37"/>
      <c r="J22" s="20"/>
      <c r="K22" s="25"/>
      <c r="L22" s="102">
        <f t="shared" si="20"/>
        <v>12</v>
      </c>
      <c r="O22" s="63"/>
      <c r="S22" s="116" t="str">
        <f t="shared" si="15"/>
        <v>[tr][td]Purifier[/td][td][/td][td]1[/td][td][/td][td][/td][td][/td][td]6[/td][td]0,03[/td][td][/td][/tr]</v>
      </c>
      <c r="T22" s="116" t="str">
        <f t="shared" si="4"/>
        <v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</v>
      </c>
      <c r="U22" s="116" t="str">
        <f xml:space="preserve"> IF( IFERROR(G22,0)&gt;0, CONCATENATE(  newline &amp; V22 &amp; W22 &amp; X22 &amp; Y22 &amp; Z22 &amp; AA22 &amp; AB22 &amp; AC22 &amp; AD22 &amp; AE22 &amp; AF22 &amp; AG22 ), "" )</f>
        <v xml:space="preserve">
Purifier                                    1         6         0</v>
      </c>
      <c r="V22" s="116" t="str">
        <f t="shared" si="7"/>
        <v>Purifier</v>
      </c>
      <c r="W22" s="116" t="str">
        <f t="shared" si="8"/>
        <v xml:space="preserve">            </v>
      </c>
      <c r="X22" s="117" t="str">
        <f t="shared" si="22"/>
        <v/>
      </c>
      <c r="Y22" s="116" t="str">
        <f t="shared" si="9"/>
        <v xml:space="preserve">               </v>
      </c>
      <c r="Z22" s="117" t="str">
        <f t="shared" si="10"/>
        <v xml:space="preserve">     </v>
      </c>
      <c r="AA22" s="117" t="str">
        <f t="shared" si="16"/>
        <v/>
      </c>
      <c r="AB22" s="117" t="str">
        <f t="shared" si="14"/>
        <v xml:space="preserve">    </v>
      </c>
      <c r="AC22" s="117">
        <f t="shared" si="17"/>
        <v>1</v>
      </c>
      <c r="AD22" s="117" t="str">
        <f t="shared" si="12"/>
        <v xml:space="preserve">         </v>
      </c>
      <c r="AE22" s="117">
        <f t="shared" si="18"/>
        <v>6</v>
      </c>
      <c r="AF22" s="116" t="str">
        <f t="shared" si="13"/>
        <v xml:space="preserve">         </v>
      </c>
      <c r="AG22" s="117">
        <f t="shared" si="19"/>
        <v>0</v>
      </c>
      <c r="AH22" s="16" t="str">
        <f>""</f>
        <v/>
      </c>
      <c r="AI22" s="16">
        <f>VLOOKUP($L22,Tables!$A$184:$D$192,1)</f>
        <v>12</v>
      </c>
      <c r="AJ22" s="64">
        <f>VLOOKUP($AI22,Tables!$A$184:$D$192,2)</f>
        <v>0.03</v>
      </c>
      <c r="AK22" s="16">
        <f>VLOOKUP($AI22,Tables!$A$184:$D$192,3)</f>
        <v>6</v>
      </c>
      <c r="AL22" s="43">
        <f>VLOOKUP($AI22,Tables!$A$184:$D$192,4)/1000000</f>
        <v>5.3330000000000001E-3</v>
      </c>
      <c r="AP22" s="106"/>
      <c r="AQ22" s="106"/>
      <c r="AY22" s="105"/>
      <c r="AZ22" s="105"/>
    </row>
    <row r="23" spans="1:93" ht="10" customHeight="1">
      <c r="A23" s="23"/>
      <c r="C23" s="34"/>
      <c r="D23" s="34"/>
      <c r="E23" s="34"/>
      <c r="F23" s="36"/>
      <c r="G23" s="25"/>
      <c r="H23" s="25"/>
      <c r="I23" s="37"/>
      <c r="J23" s="20"/>
      <c r="K23" s="25"/>
      <c r="L23" s="102"/>
      <c r="S23" s="116" t="str">
        <f t="shared" si="15"/>
        <v>[tr][td][/td][td][/td][td][/td][td][/td][td][/td][td][/td][td][/td][td][/td][td][/td][/tr]</v>
      </c>
      <c r="T23" s="116" t="str">
        <f t="shared" si="4"/>
        <v xml:space="preserve"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                                                                 </v>
      </c>
      <c r="U23" s="116" t="str">
        <f t="shared" si="6"/>
        <v xml:space="preserve">
                                                                 </v>
      </c>
      <c r="V23" s="116" t="str">
        <f t="shared" si="7"/>
        <v/>
      </c>
      <c r="W23" s="116" t="str">
        <f t="shared" si="8"/>
        <v xml:space="preserve">                    </v>
      </c>
      <c r="X23" s="117" t="str">
        <f t="shared" si="22"/>
        <v/>
      </c>
      <c r="Y23" s="116" t="str">
        <f t="shared" si="9"/>
        <v xml:space="preserve">               </v>
      </c>
      <c r="Z23" s="117" t="str">
        <f t="shared" si="10"/>
        <v xml:space="preserve">     </v>
      </c>
      <c r="AA23" s="117" t="str">
        <f t="shared" si="16"/>
        <v/>
      </c>
      <c r="AB23" s="117" t="str">
        <f t="shared" si="14"/>
        <v xml:space="preserve">     </v>
      </c>
      <c r="AC23" s="117" t="str">
        <f t="shared" si="17"/>
        <v/>
      </c>
      <c r="AD23" s="117" t="str">
        <f t="shared" si="12"/>
        <v xml:space="preserve">          </v>
      </c>
      <c r="AE23" s="117" t="str">
        <f t="shared" si="18"/>
        <v/>
      </c>
      <c r="AF23" s="116" t="str">
        <f t="shared" si="13"/>
        <v xml:space="preserve">          </v>
      </c>
      <c r="AG23" s="117" t="str">
        <f t="shared" si="19"/>
        <v/>
      </c>
      <c r="AH23" s="16" t="str">
        <f>""</f>
        <v/>
      </c>
      <c r="AP23" s="106"/>
      <c r="AQ23" s="106"/>
      <c r="BC23" s="23" t="s">
        <v>232</v>
      </c>
      <c r="BD23" s="50" t="str">
        <f>VLOOKUP( BD25,  Tables!$B$4:$C$37,  2 )</f>
        <v>0</v>
      </c>
      <c r="BE23" s="50" t="str">
        <f>VLOOKUP( BE25,  Tables!$B$4:$C$37,  2 )</f>
        <v>0</v>
      </c>
      <c r="BF23" s="50" t="str">
        <f>VLOOKUP( BF25,  Tables!$B$4:$C$37,  2 )</f>
        <v>0</v>
      </c>
      <c r="BG23" s="50" t="str">
        <f>VLOOKUP( BG25,  Tables!$B$4:$C$37,  2 )</f>
        <v>0</v>
      </c>
      <c r="BH23" s="50" t="str">
        <f>VLOOKUP( BH25,  Tables!$B$4:$C$37,  2 )</f>
        <v>0</v>
      </c>
      <c r="BI23" s="50" t="str">
        <f>VLOOKUP( BI25,  Tables!$B$4:$C$37,  2 )</f>
        <v>0</v>
      </c>
      <c r="BJ23" s="50" t="str">
        <f>VLOOKUP( BJ25,  Tables!$B$4:$C$37,  2 )</f>
        <v>0</v>
      </c>
      <c r="BQ23" s="109"/>
      <c r="BR23" s="109"/>
      <c r="BV23" s="23" t="s">
        <v>232</v>
      </c>
      <c r="BW23" s="50" t="str">
        <f>VLOOKUP( BW25,  Tables!$B$4:$C$37,  2 )</f>
        <v>0</v>
      </c>
      <c r="BX23" s="50" t="str">
        <f>VLOOKUP( BX25,  Tables!$B$4:$C$37,  2 )</f>
        <v>0</v>
      </c>
      <c r="BY23" s="50" t="str">
        <f>VLOOKUP( BY25,  Tables!$B$4:$C$37,  2 )</f>
        <v>0</v>
      </c>
      <c r="BZ23" s="50" t="str">
        <f>VLOOKUP( BZ25,  Tables!$B$4:$C$37,  2 )</f>
        <v>0</v>
      </c>
      <c r="CA23" s="50" t="str">
        <f>VLOOKUP( CA25,  Tables!$B$4:$C$37,  2 )</f>
        <v>0</v>
      </c>
      <c r="CB23" s="50" t="str">
        <f>VLOOKUP( CB25,  Tables!$B$4:$C$37,  2 )</f>
        <v>0</v>
      </c>
      <c r="CC23" s="50" t="str">
        <f>VLOOKUP( CC25,  Tables!$B$4:$C$37,  2 )</f>
        <v>0</v>
      </c>
      <c r="CE23" s="23" t="s">
        <v>364</v>
      </c>
      <c r="CF23" s="50" t="str">
        <f>IF(  CF25&gt;0,  VLOOKUP( CF25,  Tables!$B$4:$C$37,  2 ),  " "  )</f>
        <v xml:space="preserve"> </v>
      </c>
      <c r="CG23" s="50" t="str">
        <f>IF(  CG25&gt;0,  VLOOKUP( CG25,  Tables!$B$4:$C$37,  2 ),  " "  )</f>
        <v xml:space="preserve"> </v>
      </c>
      <c r="CH23" s="50" t="str">
        <f>IF(  CH25&gt;0,  VLOOKUP( CH25,  Tables!$B$4:$C$37,  2 ),  " "  )</f>
        <v xml:space="preserve"> </v>
      </c>
      <c r="CI23" s="50" t="str">
        <f>IF(  CI25&gt;0,  VLOOKUP( CI25,  Tables!$B$4:$C$37,  2 ),  " "  )</f>
        <v xml:space="preserve"> </v>
      </c>
      <c r="CJ23" s="50" t="str">
        <f>IF(  CJ25&gt;0,  VLOOKUP( CJ25,  Tables!$B$4:$C$37,  2 ),  " "  )</f>
        <v xml:space="preserve"> </v>
      </c>
      <c r="CK23" s="50" t="str">
        <f>IF(  CK25&gt;0,  VLOOKUP( CK25,  Tables!$B$4:$C$37,  2 ),  " "  )</f>
        <v xml:space="preserve"> </v>
      </c>
      <c r="CL23" s="50" t="str">
        <f>IF(  CL25&gt;0,  VLOOKUP( CL25,  Tables!$B$4:$C$37,  2 ),  " "  )</f>
        <v xml:space="preserve"> </v>
      </c>
    </row>
    <row r="24" spans="1:93" ht="10" customHeight="1">
      <c r="A24" s="23" t="s">
        <v>59</v>
      </c>
      <c r="C24" s="35">
        <f xml:space="preserve"> 1*OR( Tonnage&gt;=100, Military&gt;0 )</f>
        <v>1</v>
      </c>
      <c r="D24" s="34"/>
      <c r="E24" s="34"/>
      <c r="F24" s="36"/>
      <c r="G24" s="25">
        <f>C24*MAX(Tonnage*AJ24,AK24)</f>
        <v>20</v>
      </c>
      <c r="H24" s="25">
        <f xml:space="preserve"> C24 * IF( Tonnage&lt;100, Bridge*0.025, Tonnage*0.005 )</f>
        <v>0.5</v>
      </c>
      <c r="I24" s="37"/>
      <c r="J24" s="20"/>
      <c r="K24" s="25">
        <f>Hull/2000</f>
        <v>0.05</v>
      </c>
      <c r="L24" s="102"/>
      <c r="S24" s="116" t="str">
        <f t="shared" si="15"/>
        <v>[tr][td]Bridge[/td][td][/td][td]1[/td][td][/td][td][/td][td][/td][td]20[/td][td]0,5[/td][td][/td][/tr]</v>
      </c>
      <c r="T24" s="116" t="str">
        <f t="shared" si="4"/>
        <v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</v>
      </c>
      <c r="U24" s="116" t="str">
        <f t="shared" si="6"/>
        <v xml:space="preserve">
Bridge                                      1        20       0,5</v>
      </c>
      <c r="V24" s="116" t="str">
        <f t="shared" si="7"/>
        <v>Bridge</v>
      </c>
      <c r="W24" s="116" t="str">
        <f t="shared" si="8"/>
        <v xml:space="preserve">              </v>
      </c>
      <c r="X24" s="117" t="str">
        <f t="shared" si="22"/>
        <v/>
      </c>
      <c r="Y24" s="116" t="str">
        <f t="shared" si="9"/>
        <v xml:space="preserve">               </v>
      </c>
      <c r="Z24" s="117" t="str">
        <f t="shared" si="10"/>
        <v xml:space="preserve">     </v>
      </c>
      <c r="AA24" s="117" t="str">
        <f t="shared" si="16"/>
        <v/>
      </c>
      <c r="AB24" s="117" t="str">
        <f t="shared" si="14"/>
        <v xml:space="preserve">    </v>
      </c>
      <c r="AC24" s="117">
        <f t="shared" si="17"/>
        <v>1</v>
      </c>
      <c r="AD24" s="117" t="str">
        <f t="shared" si="12"/>
        <v xml:space="preserve">        </v>
      </c>
      <c r="AE24" s="117">
        <f t="shared" si="18"/>
        <v>20</v>
      </c>
      <c r="AF24" s="116" t="str">
        <f t="shared" si="13"/>
        <v xml:space="preserve">       </v>
      </c>
      <c r="AG24" s="117">
        <f t="shared" si="19"/>
        <v>0.5</v>
      </c>
      <c r="AH24" s="16" t="str">
        <f>""</f>
        <v/>
      </c>
      <c r="AJ24" s="39">
        <f>VLOOKUP(Tonnage,Tables!$A$197:$C$198,2)</f>
        <v>0.02</v>
      </c>
      <c r="AK24" s="20">
        <f>VLOOKUP(Tonnage,Tables!$A$197:$C$198,3)</f>
        <v>20</v>
      </c>
      <c r="AL24" s="43">
        <f>VLOOKUP(Tonnage,Tables!$A$197:$D$198,4)/1000000</f>
        <v>5.0000000000000001E-3</v>
      </c>
      <c r="BC24" s="23"/>
      <c r="BD24" s="50"/>
      <c r="BE24" s="50"/>
      <c r="BF24" s="50"/>
      <c r="BG24" s="50"/>
      <c r="BH24" s="50"/>
      <c r="BI24" s="50"/>
      <c r="BJ24" s="50"/>
      <c r="BL24" s="115"/>
      <c r="BM24" s="115" t="s">
        <v>300</v>
      </c>
      <c r="BT24" s="23"/>
      <c r="BU24" s="23"/>
      <c r="BV24" s="23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</row>
    <row r="25" spans="1:93" ht="10" customHeight="1">
      <c r="A25" s="131">
        <f xml:space="preserve"> AV25</f>
        <v>0</v>
      </c>
      <c r="B25" s="16" t="str">
        <f>CONCATENATE( "m/",  AS25,  IF(E25&gt;0,"fib","")  )</f>
        <v>m/1bis</v>
      </c>
      <c r="C25" s="35">
        <v>1</v>
      </c>
      <c r="D25" s="35">
        <f xml:space="preserve"> 9 * (Military&gt;0)</f>
        <v>0</v>
      </c>
      <c r="E25" s="65">
        <f xml:space="preserve"> 1*(Military&gt;0)*(Hull&gt;=1000)*(LBB&lt;=0)</f>
        <v>0</v>
      </c>
      <c r="F25" s="36" t="str">
        <f>TEXT(VLOOKUP((C25&gt;0)*AN25-1*(Tonnage&lt;100)*(C24&lt;1),Tables!$C$203:$J$215,2+3*($E25&gt;0)*(Tonnage&gt;=100)),0)</f>
        <v>R</v>
      </c>
      <c r="G25" s="25">
        <f>C25*AP25</f>
        <v>1</v>
      </c>
      <c r="H25" s="25">
        <f>C25*AQ25</f>
        <v>4</v>
      </c>
      <c r="I25" s="37">
        <f xml:space="preserve"> (C25&gt;0) * -AR25 * (A25&gt;=0)</f>
        <v>0</v>
      </c>
      <c r="J25" s="20"/>
      <c r="K25" s="25"/>
      <c r="L25" s="102">
        <f t="shared" si="20"/>
        <v>12</v>
      </c>
      <c r="S25" s="116" t="str">
        <f xml:space="preserve"> CONCATENATE(  "[tr]",  "[td]","Computer","[/td]", "[td]",B25,"[/td]", "[td]",C25,"[/td]", "[td]",D25,"[/td]", "[td]",E25,"[/td]", "[td]",F25,"[/td]", "[td]",IF(G25&lt;&gt;0,G25,""),"[/td]", "[td]",IF(H25&lt;&gt;0,H25,""),"[/td]", "[td]",IF(I25&lt;&gt;0,I25,""),"[/td]",  "[/tr]" )</f>
        <v>[tr][td]Computer[/td][td]m/1bis[/td][td]1[/td][td]0[/td][td]0[/td][td]R[/td][td]1[/td][td]4[/td][td][/td][/tr]</v>
      </c>
      <c r="T25" s="116" t="str">
        <f t="shared" si="4"/>
        <v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</v>
      </c>
      <c r="U25" s="116" t="str">
        <f t="shared" si="6"/>
        <v xml:space="preserve">
Computer            m/1bis             R    1         1         4</v>
      </c>
      <c r="V25" s="116" t="str">
        <f xml:space="preserve"> IF( A25&lt;=0, "Computer", "BackupComp" )</f>
        <v>Computer</v>
      </c>
      <c r="W25" s="116" t="str">
        <f t="shared" si="8"/>
        <v xml:space="preserve">            </v>
      </c>
      <c r="X25" s="117" t="str">
        <f t="shared" si="22"/>
        <v>m/1bis</v>
      </c>
      <c r="Y25" s="116" t="str">
        <f t="shared" si="9"/>
        <v xml:space="preserve">         </v>
      </c>
      <c r="Z25" s="117" t="str">
        <f t="shared" si="10"/>
        <v xml:space="preserve">    </v>
      </c>
      <c r="AA25" s="117" t="str">
        <f t="shared" si="16"/>
        <v>R</v>
      </c>
      <c r="AB25" s="117" t="str">
        <f t="shared" si="14"/>
        <v xml:space="preserve">    </v>
      </c>
      <c r="AC25" s="117">
        <f t="shared" si="17"/>
        <v>1</v>
      </c>
      <c r="AD25" s="117" t="str">
        <f t="shared" si="12"/>
        <v xml:space="preserve">         </v>
      </c>
      <c r="AE25" s="117">
        <f t="shared" si="18"/>
        <v>1</v>
      </c>
      <c r="AF25" s="116" t="str">
        <f t="shared" si="13"/>
        <v xml:space="preserve">         </v>
      </c>
      <c r="AG25" s="117">
        <f t="shared" si="19"/>
        <v>4</v>
      </c>
      <c r="AH25" s="16" t="str">
        <f>""</f>
        <v/>
      </c>
      <c r="AI25" s="66">
        <f>VLOOKUP($L25,Tables!$A$203:$J$215,3)</f>
        <v>6</v>
      </c>
      <c r="AJ25" s="67">
        <f xml:space="preserve"> IF( BM25=1, VLOOKUP(Jump,Tables!$B$203:$J$215,2), 0 )</f>
        <v>1.01</v>
      </c>
      <c r="AK25" s="68">
        <f>IF( Tonnage&lt;100, IF(G24&gt;0,0,1), VLOOKUP(Tonnage,Tables!$B$42:$D$74,3) ) * (LBB&lt;=0)</f>
        <v>0</v>
      </c>
      <c r="AL25" s="68">
        <f xml:space="preserve"> IFERROR(  SUM($BS$1:$BS$101),  0  )</f>
        <v>0</v>
      </c>
      <c r="AM25" s="69">
        <f xml:space="preserve"> MIN( AI25, MAX( AJ25, AK25, AL25, D25, 1*(Hull&gt;=100) ) )</f>
        <v>1.01</v>
      </c>
      <c r="AN25" s="50">
        <f>IF(E25&gt;0,ROUNDUP(AM25,0),AM25+0.1*(E25&lt;0)*(AM25&lt;3)*(Tonnage&gt;=100))</f>
        <v>1.01</v>
      </c>
      <c r="AO25" s="50" t="str">
        <f>TEXT(VLOOKUP($AN25,Tables!$C$203:$J$215,2+3*($E25&gt;0)),0)</f>
        <v>R</v>
      </c>
      <c r="AP25" s="50">
        <f>VLOOKUP($AN25,Tables!$C$203:$J$215,3+3*($E25&gt;0))</f>
        <v>1</v>
      </c>
      <c r="AQ25" s="50">
        <f>VLOOKUP($AN25,Tables!$C$203:$J$215,4+3*($E25&gt;0))</f>
        <v>4</v>
      </c>
      <c r="AR25" s="50">
        <f>VLOOKUP($AN25,Tables!$C$203:$J$215,8)</f>
        <v>0</v>
      </c>
      <c r="AS25" s="50" t="str">
        <f>VLOOKUP($AN25,Tables!$C$203:$K$215,9)</f>
        <v>1bis</v>
      </c>
      <c r="AU25" s="50" t="s">
        <v>301</v>
      </c>
      <c r="AV25" s="16">
        <f xml:space="preserve"> IF( OR( Comp&gt;AI25, Comp&lt;AJ25, Comp&lt;AK25, Comp&lt;AL25 ), 1, IF( AN25=Comp, 0, -1 ) )</f>
        <v>0</v>
      </c>
      <c r="BC25" s="23" t="s">
        <v>6</v>
      </c>
      <c r="BD25" s="16">
        <f>MAX(BD36:BD54)</f>
        <v>0</v>
      </c>
      <c r="BE25" s="16">
        <f t="shared" ref="BE25:BJ25" si="32">MAX(BE36:BE54)</f>
        <v>0</v>
      </c>
      <c r="BF25" s="16">
        <f t="shared" si="32"/>
        <v>0</v>
      </c>
      <c r="BG25" s="16">
        <f t="shared" si="32"/>
        <v>0</v>
      </c>
      <c r="BH25" s="16">
        <f t="shared" si="32"/>
        <v>0</v>
      </c>
      <c r="BI25" s="16">
        <f t="shared" si="32"/>
        <v>0</v>
      </c>
      <c r="BJ25" s="16">
        <f t="shared" si="32"/>
        <v>0</v>
      </c>
      <c r="BK25" s="134">
        <f>C25</f>
        <v>1</v>
      </c>
      <c r="BL25" s="23"/>
      <c r="BM25" s="23">
        <f xml:space="preserve"> SUM( $BK$1:INDEX( $BK$1:$BK$103, ROW($BK25) ) )</f>
        <v>1</v>
      </c>
      <c r="BO25" s="16" t="str">
        <f xml:space="preserve"> IF( AN25=Comp, "Main Computer", "Backup Computer" )</f>
        <v>Main Computer</v>
      </c>
      <c r="BV25" s="23" t="s">
        <v>6</v>
      </c>
      <c r="BW25" s="110">
        <f>MAX(BW36:BW54)</f>
        <v>0</v>
      </c>
      <c r="BX25" s="110">
        <f t="shared" ref="BX25:CC25" si="33">MAX(BX36:BX54)</f>
        <v>0</v>
      </c>
      <c r="BY25" s="110">
        <f t="shared" si="33"/>
        <v>0</v>
      </c>
      <c r="BZ25" s="110">
        <f t="shared" si="33"/>
        <v>0</v>
      </c>
      <c r="CA25" s="110">
        <f t="shared" si="33"/>
        <v>0</v>
      </c>
      <c r="CB25" s="110">
        <f t="shared" si="33"/>
        <v>0</v>
      </c>
      <c r="CC25" s="110">
        <f t="shared" si="33"/>
        <v>0</v>
      </c>
      <c r="CE25" s="23" t="s">
        <v>7</v>
      </c>
      <c r="CF25" s="16">
        <f xml:space="preserve"> SUM( CF36:CF54 )</f>
        <v>0</v>
      </c>
      <c r="CG25" s="16">
        <f t="shared" ref="CG25:CL25" si="34" xml:space="preserve"> SUM( CG36:CG54 )</f>
        <v>0</v>
      </c>
      <c r="CH25" s="16">
        <f t="shared" si="34"/>
        <v>0</v>
      </c>
      <c r="CI25" s="16">
        <f t="shared" si="34"/>
        <v>0</v>
      </c>
      <c r="CJ25" s="16">
        <f t="shared" si="34"/>
        <v>0</v>
      </c>
      <c r="CK25" s="16">
        <f t="shared" si="34"/>
        <v>0</v>
      </c>
      <c r="CL25" s="16">
        <f t="shared" si="34"/>
        <v>0</v>
      </c>
      <c r="CN25" s="132">
        <f xml:space="preserve"> AN25 + 0.001*(E25&gt;0)</f>
        <v>1.01</v>
      </c>
    </row>
    <row r="26" spans="1:93" ht="10" customHeight="1">
      <c r="A26" s="23"/>
      <c r="C26" s="34"/>
      <c r="D26" s="34"/>
      <c r="E26" s="34"/>
      <c r="F26" s="36"/>
      <c r="G26" s="25"/>
      <c r="H26" s="25"/>
      <c r="I26" s="37"/>
      <c r="J26" s="20"/>
      <c r="K26" s="25"/>
      <c r="L26" s="102"/>
      <c r="S26" s="116" t="str">
        <f t="shared" si="15"/>
        <v>[tr][td][/td][td][/td][td][/td][td][/td][td][/td][td][/td][td][/td][td][/td][td][/td][/tr]</v>
      </c>
      <c r="T26" s="116" t="str">
        <f t="shared" si="4"/>
        <v xml:space="preserve"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                                                                 </v>
      </c>
      <c r="U26" s="116" t="str">
        <f t="shared" si="6"/>
        <v xml:space="preserve">
                                                                 </v>
      </c>
      <c r="V26" s="116" t="str">
        <f t="shared" si="7"/>
        <v/>
      </c>
      <c r="W26" s="116" t="str">
        <f t="shared" si="8"/>
        <v xml:space="preserve">                    </v>
      </c>
      <c r="X26" s="117" t="str">
        <f t="shared" si="22"/>
        <v/>
      </c>
      <c r="Y26" s="116" t="str">
        <f t="shared" si="9"/>
        <v xml:space="preserve">               </v>
      </c>
      <c r="Z26" s="117" t="str">
        <f t="shared" si="10"/>
        <v xml:space="preserve">     </v>
      </c>
      <c r="AA26" s="117" t="str">
        <f t="shared" si="16"/>
        <v/>
      </c>
      <c r="AB26" s="117" t="str">
        <f t="shared" si="14"/>
        <v xml:space="preserve">     </v>
      </c>
      <c r="AC26" s="117" t="str">
        <f t="shared" si="17"/>
        <v/>
      </c>
      <c r="AD26" s="117" t="str">
        <f t="shared" si="12"/>
        <v xml:space="preserve">          </v>
      </c>
      <c r="AE26" s="117" t="str">
        <f t="shared" si="18"/>
        <v/>
      </c>
      <c r="AF26" s="116" t="str">
        <f t="shared" si="13"/>
        <v xml:space="preserve">          </v>
      </c>
      <c r="AG26" s="117" t="str">
        <f t="shared" si="19"/>
        <v/>
      </c>
      <c r="AH26" s="16" t="str">
        <f>""</f>
        <v/>
      </c>
      <c r="AI26" s="70"/>
      <c r="AJ26" s="67"/>
      <c r="AK26" s="71"/>
      <c r="AL26" s="69"/>
      <c r="BV26" s="110"/>
    </row>
    <row r="27" spans="1:93" ht="10" customHeight="1">
      <c r="A27" s="23" t="str">
        <f>IF(Tonnage&lt;100,"Couch","Staterooms")</f>
        <v>Staterooms</v>
      </c>
      <c r="C27" s="34">
        <f xml:space="preserve"> ROUNDUP( MAX( D27, MAX( 0, IF( Tonnage&lt;100, MAX( Crew, AK27-C28*(1+1*(DualOccup&gt;0)) ) - MIN(2,Crew)*(Bridge&gt;0), IF(DualOccup&gt;0,AO27,AK27) ) ) ),0)</f>
        <v>1</v>
      </c>
      <c r="D27" s="59">
        <v>0</v>
      </c>
      <c r="E27" s="34"/>
      <c r="F27" s="36"/>
      <c r="G27" s="25">
        <f>C27*((2+2*(Tonnage&gt;=100))*(A27="Staterooms")+0.5*(A27="Couch"))</f>
        <v>4</v>
      </c>
      <c r="H27" s="25">
        <f xml:space="preserve"> C27 * (  (0.1+0.4*(Tonnage&gt;=100)) * (A27="Staterooms") + 0.025*(A27="Couch")  )</f>
        <v>0.5</v>
      </c>
      <c r="I27" s="37"/>
      <c r="J27" s="20"/>
      <c r="K27" s="25"/>
      <c r="L27" s="102"/>
      <c r="S27" s="116" t="str">
        <f t="shared" si="15"/>
        <v>[tr][td]Staterooms[/td][td][/td][td]1[/td][td]0[/td][td][/td][td][/td][td]4[/td][td]0,5[/td][td][/td][/tr]</v>
      </c>
      <c r="T27" s="116" t="str">
        <f t="shared" si="4"/>
        <v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</v>
      </c>
      <c r="U27" s="116" t="str">
        <f t="shared" si="6"/>
        <v xml:space="preserve">
Staterooms                                  1         4       0,5</v>
      </c>
      <c r="V27" s="116" t="str">
        <f t="shared" si="7"/>
        <v>Staterooms</v>
      </c>
      <c r="W27" s="116" t="str">
        <f t="shared" si="8"/>
        <v xml:space="preserve">          </v>
      </c>
      <c r="X27" s="117" t="str">
        <f t="shared" si="22"/>
        <v/>
      </c>
      <c r="Y27" s="116" t="str">
        <f t="shared" si="9"/>
        <v xml:space="preserve">               </v>
      </c>
      <c r="Z27" s="117" t="str">
        <f t="shared" si="10"/>
        <v xml:space="preserve">     </v>
      </c>
      <c r="AA27" s="117" t="str">
        <f t="shared" si="16"/>
        <v/>
      </c>
      <c r="AB27" s="117" t="str">
        <f t="shared" si="14"/>
        <v xml:space="preserve">    </v>
      </c>
      <c r="AC27" s="117">
        <f t="shared" si="17"/>
        <v>1</v>
      </c>
      <c r="AD27" s="117" t="str">
        <f t="shared" si="12"/>
        <v xml:space="preserve">         </v>
      </c>
      <c r="AE27" s="117">
        <f t="shared" si="18"/>
        <v>4</v>
      </c>
      <c r="AF27" s="116" t="str">
        <f t="shared" si="13"/>
        <v xml:space="preserve">       </v>
      </c>
      <c r="AG27" s="117">
        <f t="shared" si="19"/>
        <v>0.5</v>
      </c>
      <c r="AH27" s="16" t="str">
        <f>""</f>
        <v/>
      </c>
      <c r="AI27" s="16" t="s">
        <v>384</v>
      </c>
      <c r="AK27" s="38">
        <f>Crew+Marines+High+Mid+D76</f>
        <v>1</v>
      </c>
      <c r="AM27" s="16" t="s">
        <v>39</v>
      </c>
      <c r="AO27" s="38">
        <f xml:space="preserve"> COUNTIF( K73:K78, "&gt;0" ) + High + Mid + D76</f>
        <v>1</v>
      </c>
      <c r="BF27" s="50" t="s">
        <v>40</v>
      </c>
      <c r="BG27" s="50" t="s">
        <v>41</v>
      </c>
      <c r="BV27" s="110"/>
      <c r="BY27" s="50" t="s">
        <v>40</v>
      </c>
      <c r="BZ27" s="50" t="s">
        <v>41</v>
      </c>
      <c r="CH27" s="50" t="s">
        <v>40</v>
      </c>
      <c r="CI27" s="50" t="s">
        <v>41</v>
      </c>
    </row>
    <row r="28" spans="1:93" ht="10" customHeight="1">
      <c r="A28" s="23" t="str">
        <f>IF(Tonnage&lt;100,"Staterooms, Small","Staterooms, Half" )</f>
        <v>Staterooms, Half</v>
      </c>
      <c r="C28" s="34">
        <f xml:space="preserve"> ROUNDUP( MAX( D28, IF( Tonnage&lt;100, High, AK27-AO27-2*(C27-AO27) ) ),0)</f>
        <v>0</v>
      </c>
      <c r="D28" s="59">
        <v>0</v>
      </c>
      <c r="E28" s="34"/>
      <c r="F28" s="36"/>
      <c r="G28" s="25">
        <f>C28*2</f>
        <v>0</v>
      </c>
      <c r="H28" s="25">
        <f xml:space="preserve"> C28 * IF( (Tonnage&lt;100), 0.1, 0.25 )</f>
        <v>0</v>
      </c>
      <c r="I28" s="37"/>
      <c r="J28" s="20"/>
      <c r="K28" s="25"/>
      <c r="L28" s="102"/>
      <c r="S28" s="116" t="str">
        <f t="shared" si="15"/>
        <v>[tr][td]Staterooms, Half[/td][td][/td][td]0[/td][td]0[/td][td][/td][td][/td][td][/td][td][/td][td][/td][/tr]</v>
      </c>
      <c r="T28" s="116" t="str">
        <f t="shared" si="4"/>
        <v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</v>
      </c>
      <c r="U28" s="116" t="str">
        <f xml:space="preserve"> IF( IFERROR(G28,0)&gt;0, CONCATENATE(  newline &amp; V28 &amp; W28 &amp; X28 &amp; Y28 &amp; Z28 &amp; AA28 &amp; AB28 &amp; AC28 &amp; AD28 &amp; AE28 &amp; AF28 &amp; AG28 ), "" )</f>
        <v/>
      </c>
      <c r="V28" s="116" t="str">
        <f t="shared" si="7"/>
        <v>Staterooms, Half</v>
      </c>
      <c r="W28" s="116" t="str">
        <f t="shared" si="8"/>
        <v xml:space="preserve">    </v>
      </c>
      <c r="X28" s="117" t="str">
        <f t="shared" si="22"/>
        <v/>
      </c>
      <c r="Y28" s="116" t="str">
        <f t="shared" si="9"/>
        <v xml:space="preserve">               </v>
      </c>
      <c r="Z28" s="117" t="str">
        <f t="shared" si="10"/>
        <v xml:space="preserve">     </v>
      </c>
      <c r="AA28" s="117" t="str">
        <f t="shared" si="16"/>
        <v/>
      </c>
      <c r="AB28" s="117" t="str">
        <f t="shared" si="14"/>
        <v xml:space="preserve">     </v>
      </c>
      <c r="AC28" s="117" t="str">
        <f t="shared" si="17"/>
        <v/>
      </c>
      <c r="AD28" s="117" t="str">
        <f t="shared" si="12"/>
        <v xml:space="preserve">          </v>
      </c>
      <c r="AE28" s="117" t="str">
        <f t="shared" si="18"/>
        <v/>
      </c>
      <c r="AF28" s="116" t="str">
        <f t="shared" si="13"/>
        <v xml:space="preserve">          </v>
      </c>
      <c r="AG28" s="117" t="str">
        <f t="shared" si="19"/>
        <v/>
      </c>
      <c r="AH28" s="16" t="str">
        <f>""</f>
        <v/>
      </c>
      <c r="BF28" s="50"/>
      <c r="BG28" s="50"/>
      <c r="BO28" s="16" t="s">
        <v>111</v>
      </c>
      <c r="BV28" s="110"/>
      <c r="BY28" s="50"/>
      <c r="BZ28" s="50"/>
      <c r="CH28" s="50"/>
      <c r="CI28" s="50"/>
    </row>
    <row r="29" spans="1:93" ht="10" customHeight="1">
      <c r="A29" s="23" t="s">
        <v>290</v>
      </c>
      <c r="C29" s="34">
        <f xml:space="preserve"> ROUNDUP( MAX( D29, Low+Frozen ),0)</f>
        <v>0</v>
      </c>
      <c r="D29" s="59">
        <v>0</v>
      </c>
      <c r="E29" s="34"/>
      <c r="F29" s="36"/>
      <c r="G29" s="25">
        <f>C29*(0.5+0.5*(B29="Emergency"))</f>
        <v>0</v>
      </c>
      <c r="H29" s="25">
        <f>G29*0.1</f>
        <v>0</v>
      </c>
      <c r="I29" s="37"/>
      <c r="J29" s="20"/>
      <c r="K29" s="25"/>
      <c r="L29" s="102"/>
      <c r="S29" s="116" t="str">
        <f t="shared" si="15"/>
        <v>[tr][td]Low Berths[/td][td][/td][td]0[/td][td]0[/td][td][/td][td][/td][td][/td][td][/td][td][/td][/tr]</v>
      </c>
      <c r="T29" s="116" t="str">
        <f t="shared" si="4"/>
        <v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</v>
      </c>
      <c r="U29" s="116" t="str">
        <f xml:space="preserve"> IF( IFERROR(G29,0)&gt;0, CONCATENATE(  newline &amp; V29 &amp; W29 &amp; X29 &amp; Y29 &amp; Z29 &amp; AA29 &amp; AB29 &amp; AC29 &amp; AD29 &amp; AE29 &amp; AF29 &amp; AG29 ), "" )</f>
        <v/>
      </c>
      <c r="V29" s="116" t="str">
        <f t="shared" si="7"/>
        <v>Low Berths</v>
      </c>
      <c r="W29" s="116" t="str">
        <f t="shared" si="8"/>
        <v xml:space="preserve">          </v>
      </c>
      <c r="X29" s="117" t="str">
        <f t="shared" si="22"/>
        <v/>
      </c>
      <c r="Y29" s="116" t="str">
        <f t="shared" si="9"/>
        <v xml:space="preserve">               </v>
      </c>
      <c r="Z29" s="117" t="str">
        <f t="shared" si="10"/>
        <v xml:space="preserve">     </v>
      </c>
      <c r="AA29" s="117" t="str">
        <f t="shared" si="16"/>
        <v/>
      </c>
      <c r="AB29" s="117" t="str">
        <f t="shared" si="14"/>
        <v xml:space="preserve">     </v>
      </c>
      <c r="AC29" s="117" t="str">
        <f t="shared" si="17"/>
        <v/>
      </c>
      <c r="AD29" s="117" t="str">
        <f t="shared" si="12"/>
        <v xml:space="preserve">          </v>
      </c>
      <c r="AE29" s="117" t="str">
        <f t="shared" si="18"/>
        <v/>
      </c>
      <c r="AF29" s="116" t="str">
        <f t="shared" si="13"/>
        <v xml:space="preserve">          </v>
      </c>
      <c r="AG29" s="117" t="str">
        <f t="shared" si="19"/>
        <v/>
      </c>
      <c r="AH29" s="16" t="str">
        <f>""</f>
        <v/>
      </c>
      <c r="BD29" s="50" t="s">
        <v>67</v>
      </c>
      <c r="BE29" s="50" t="s">
        <v>114</v>
      </c>
      <c r="BF29" s="50" t="s">
        <v>115</v>
      </c>
      <c r="BG29" s="50" t="s">
        <v>116</v>
      </c>
      <c r="BH29" s="50" t="s">
        <v>304</v>
      </c>
      <c r="BI29" s="50" t="s">
        <v>305</v>
      </c>
      <c r="BJ29" s="50" t="s">
        <v>191</v>
      </c>
      <c r="BV29" s="110"/>
      <c r="BW29" s="50" t="s">
        <v>67</v>
      </c>
      <c r="BX29" s="50" t="s">
        <v>114</v>
      </c>
      <c r="BY29" s="50" t="s">
        <v>57</v>
      </c>
      <c r="BZ29" s="50" t="s">
        <v>33</v>
      </c>
      <c r="CA29" s="50" t="s">
        <v>37</v>
      </c>
      <c r="CB29" s="50" t="s">
        <v>36</v>
      </c>
      <c r="CC29" s="50" t="s">
        <v>191</v>
      </c>
      <c r="CF29" s="50" t="s">
        <v>67</v>
      </c>
      <c r="CG29" s="50" t="s">
        <v>114</v>
      </c>
      <c r="CH29" s="50" t="s">
        <v>115</v>
      </c>
      <c r="CI29" s="50" t="s">
        <v>116</v>
      </c>
      <c r="CJ29" s="50" t="s">
        <v>304</v>
      </c>
      <c r="CK29" s="50" t="s">
        <v>305</v>
      </c>
      <c r="CL29" s="50" t="s">
        <v>191</v>
      </c>
    </row>
    <row r="30" spans="1:93" ht="10" customHeight="1">
      <c r="A30" s="23"/>
      <c r="C30" s="34"/>
      <c r="D30" s="34"/>
      <c r="E30" s="34"/>
      <c r="F30" s="36"/>
      <c r="G30" s="25"/>
      <c r="H30" s="25"/>
      <c r="I30" s="37"/>
      <c r="J30" s="20"/>
      <c r="K30" s="25"/>
      <c r="L30" s="102"/>
      <c r="S30" s="116" t="str">
        <f t="shared" si="15"/>
        <v>[tr][td][/td][td][/td][td][/td][td][/td][td][/td][td][/td][td][/td][td][/td][td][/td][/tr]</v>
      </c>
      <c r="T30" s="116" t="str">
        <f t="shared" si="4"/>
        <v xml:space="preserve"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                                                                 </v>
      </c>
      <c r="U30" s="116" t="str">
        <f t="shared" si="6"/>
        <v xml:space="preserve">
                                                                 </v>
      </c>
      <c r="V30" s="116" t="str">
        <f t="shared" si="7"/>
        <v/>
      </c>
      <c r="W30" s="116" t="str">
        <f t="shared" si="8"/>
        <v xml:space="preserve">                    </v>
      </c>
      <c r="X30" s="117" t="str">
        <f t="shared" si="22"/>
        <v/>
      </c>
      <c r="Y30" s="116" t="str">
        <f t="shared" si="9"/>
        <v xml:space="preserve">               </v>
      </c>
      <c r="Z30" s="117" t="str">
        <f t="shared" si="10"/>
        <v xml:space="preserve">     </v>
      </c>
      <c r="AA30" s="117" t="str">
        <f t="shared" si="16"/>
        <v/>
      </c>
      <c r="AB30" s="117" t="str">
        <f t="shared" si="14"/>
        <v xml:space="preserve">     </v>
      </c>
      <c r="AC30" s="117" t="str">
        <f t="shared" si="17"/>
        <v/>
      </c>
      <c r="AD30" s="117" t="str">
        <f t="shared" si="12"/>
        <v xml:space="preserve">          </v>
      </c>
      <c r="AE30" s="117" t="str">
        <f t="shared" si="18"/>
        <v/>
      </c>
      <c r="AF30" s="116" t="str">
        <f t="shared" si="13"/>
        <v xml:space="preserve">          </v>
      </c>
      <c r="AG30" s="117" t="str">
        <f t="shared" si="19"/>
        <v/>
      </c>
      <c r="AH30" s="16" t="str">
        <f>""</f>
        <v/>
      </c>
      <c r="BD30" s="50" t="s">
        <v>16</v>
      </c>
      <c r="BE30" s="50" t="s">
        <v>17</v>
      </c>
      <c r="BF30" s="50" t="s">
        <v>319</v>
      </c>
      <c r="BG30" s="50" t="s">
        <v>262</v>
      </c>
      <c r="BH30" s="50" t="s">
        <v>360</v>
      </c>
      <c r="BI30" s="50" t="s">
        <v>168</v>
      </c>
      <c r="BJ30" s="50" t="s">
        <v>349</v>
      </c>
      <c r="BL30" s="50" t="s">
        <v>16</v>
      </c>
      <c r="BM30" s="50" t="s">
        <v>17</v>
      </c>
      <c r="BN30" s="50" t="s">
        <v>319</v>
      </c>
      <c r="BO30" s="50" t="s">
        <v>262</v>
      </c>
      <c r="BP30" s="50" t="s">
        <v>263</v>
      </c>
      <c r="BQ30" s="50" t="s">
        <v>168</v>
      </c>
      <c r="BR30" s="50" t="s">
        <v>349</v>
      </c>
      <c r="BS30" s="133" t="s">
        <v>350</v>
      </c>
      <c r="BT30" s="16" t="s">
        <v>320</v>
      </c>
      <c r="BV30" s="110"/>
      <c r="BW30" s="50" t="s">
        <v>67</v>
      </c>
      <c r="BX30" s="50" t="s">
        <v>114</v>
      </c>
      <c r="BY30" s="50" t="s">
        <v>319</v>
      </c>
      <c r="BZ30" s="50" t="s">
        <v>238</v>
      </c>
      <c r="CA30" s="50" t="s">
        <v>360</v>
      </c>
      <c r="CB30" s="50" t="s">
        <v>36</v>
      </c>
      <c r="CC30" s="50" t="s">
        <v>191</v>
      </c>
      <c r="CF30" s="50" t="s">
        <v>16</v>
      </c>
      <c r="CG30" s="50" t="s">
        <v>17</v>
      </c>
      <c r="CH30" s="50" t="s">
        <v>319</v>
      </c>
      <c r="CI30" s="50" t="s">
        <v>262</v>
      </c>
      <c r="CJ30" s="50" t="s">
        <v>361</v>
      </c>
      <c r="CK30" s="50" t="s">
        <v>168</v>
      </c>
      <c r="CL30" s="50" t="s">
        <v>349</v>
      </c>
    </row>
    <row r="31" spans="1:93" ht="10" customHeight="1">
      <c r="A31" s="23" t="s">
        <v>48</v>
      </c>
      <c r="C31" s="34"/>
      <c r="D31" s="34"/>
      <c r="E31" s="34"/>
      <c r="F31" s="36"/>
      <c r="G31" s="25">
        <f xml:space="preserve"> MAX( Tonnage-AI31, 0 )</f>
        <v>36</v>
      </c>
      <c r="H31" s="25"/>
      <c r="I31" s="37"/>
      <c r="J31" s="20"/>
      <c r="K31" s="25"/>
      <c r="L31" s="102"/>
      <c r="S31" s="116" t="str">
        <f t="shared" si="15"/>
        <v>[tr][td]Cargo[/td][td][/td][td][/td][td][/td][td][/td][td][/td][td]36[/td][td][/td][td][/td][/tr]</v>
      </c>
      <c r="T31" s="116" t="str">
        <f t="shared" si="4"/>
        <v xml:space="preserve"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</v>
      </c>
      <c r="U31" s="116" t="str">
        <f t="shared" si="6"/>
        <v xml:space="preserve">
Cargo                                                36          </v>
      </c>
      <c r="V31" s="116" t="str">
        <f t="shared" si="7"/>
        <v>Cargo</v>
      </c>
      <c r="W31" s="116" t="str">
        <f t="shared" si="8"/>
        <v xml:space="preserve">               </v>
      </c>
      <c r="X31" s="117" t="str">
        <f t="shared" si="22"/>
        <v/>
      </c>
      <c r="Y31" s="116" t="str">
        <f t="shared" si="9"/>
        <v xml:space="preserve">               </v>
      </c>
      <c r="Z31" s="117" t="str">
        <f t="shared" si="10"/>
        <v xml:space="preserve">     </v>
      </c>
      <c r="AA31" s="117" t="str">
        <f t="shared" si="16"/>
        <v/>
      </c>
      <c r="AB31" s="117" t="str">
        <f t="shared" si="14"/>
        <v xml:space="preserve">     </v>
      </c>
      <c r="AC31" s="117" t="str">
        <f t="shared" si="17"/>
        <v/>
      </c>
      <c r="AD31" s="117" t="str">
        <f t="shared" si="12"/>
        <v xml:space="preserve">        </v>
      </c>
      <c r="AE31" s="117">
        <f t="shared" si="18"/>
        <v>36</v>
      </c>
      <c r="AF31" s="116" t="str">
        <f t="shared" si="13"/>
        <v xml:space="preserve">          </v>
      </c>
      <c r="AG31" s="117" t="str">
        <f t="shared" si="19"/>
        <v/>
      </c>
      <c r="AH31" s="16" t="str">
        <f>""</f>
        <v/>
      </c>
      <c r="AI31" s="27">
        <f xml:space="preserve"> IF(ISERROR(AJ31),0,AJ31) + IF(ISERROR(AK31),0,AK31)</f>
        <v>64</v>
      </c>
      <c r="AJ31" s="25">
        <f xml:space="preserve"> SUM( G9:G30 )</f>
        <v>43</v>
      </c>
      <c r="AK31" s="25">
        <f xml:space="preserve"> SUM(G32:G67 )</f>
        <v>21</v>
      </c>
      <c r="AN31" s="28" t="s">
        <v>215</v>
      </c>
      <c r="AO31" s="28" t="s">
        <v>107</v>
      </c>
      <c r="AP31" s="28" t="s">
        <v>108</v>
      </c>
      <c r="AQ31" s="28" t="s">
        <v>108</v>
      </c>
      <c r="AR31" s="28">
        <v>1</v>
      </c>
      <c r="AS31" s="28">
        <v>2</v>
      </c>
      <c r="AT31" s="28">
        <v>3</v>
      </c>
      <c r="AU31" s="28">
        <v>4</v>
      </c>
      <c r="AV31" s="28">
        <v>5</v>
      </c>
      <c r="AW31" s="28">
        <v>6</v>
      </c>
      <c r="AX31" s="28">
        <v>7</v>
      </c>
      <c r="AY31" s="28">
        <v>8</v>
      </c>
      <c r="AZ31" s="28">
        <v>9</v>
      </c>
      <c r="BA31" s="28" t="s">
        <v>109</v>
      </c>
      <c r="BD31" s="50"/>
      <c r="BE31" s="50"/>
      <c r="BF31" s="50"/>
      <c r="BG31" s="50"/>
      <c r="BH31" s="50"/>
      <c r="BI31" s="50"/>
      <c r="BJ31" s="50"/>
      <c r="BL31" s="50"/>
      <c r="BM31" s="50"/>
      <c r="BN31" s="50"/>
      <c r="BO31" s="50"/>
      <c r="BP31" s="50"/>
      <c r="BQ31" s="50"/>
      <c r="BR31" s="50"/>
      <c r="BS31" s="133"/>
      <c r="BV31" s="110"/>
      <c r="BW31" s="50"/>
      <c r="BX31" s="50"/>
      <c r="BY31" s="50"/>
      <c r="BZ31" s="50"/>
      <c r="CA31" s="50"/>
      <c r="CB31" s="50"/>
      <c r="CC31" s="50"/>
      <c r="CF31" s="50"/>
      <c r="CG31" s="50"/>
      <c r="CH31" s="50"/>
      <c r="CI31" s="50"/>
      <c r="CJ31" s="50"/>
      <c r="CK31" s="50"/>
      <c r="CL31" s="50"/>
    </row>
    <row r="32" spans="1:93" ht="10" customHeight="1">
      <c r="A32" s="23" t="s">
        <v>291</v>
      </c>
      <c r="C32" s="35">
        <f>1*(D32&gt;0)</f>
        <v>1</v>
      </c>
      <c r="D32" s="129">
        <f xml:space="preserve"> AY14 * (LBB&lt;=0)</f>
        <v>2</v>
      </c>
      <c r="E32" s="34"/>
      <c r="F32" s="36"/>
      <c r="G32" s="25">
        <f xml:space="preserve"> MAX( 0, C32 * IFERROR(D32/AY14*AZ14,0) - IF(ISERROR(B13),0,B13) )</f>
        <v>20</v>
      </c>
      <c r="H32" s="25">
        <f>G32*0.001</f>
        <v>0.02</v>
      </c>
      <c r="I32" s="37"/>
      <c r="J32" s="20"/>
      <c r="K32" s="25"/>
      <c r="L32" s="102"/>
      <c r="S32" s="116" t="str">
        <f t="shared" ref="S32" si="35" xml:space="preserve"> CONCATENATE(  "[tr]",  "[td]",A32,"[/td]", "[td]",B32,"[/td]", "[td]",C32,"[/td]", "[td]",D32,"[/td]", "[td]",E32,"[/td]", "[td]",F32,"[/td]", "[td]",IF(G32&lt;&gt;0,G32,""),"[/td]", "[td]",IF(H32&lt;&gt;0,H32,""),"[/td]", "[td]",IF(I32&lt;&gt;0,I32,""),"[/td]",  "[/tr]" )</f>
        <v>[tr][td]Demountable Tanks[/td][td][/td][td]1[/td][td]2[/td][td][/td][td][/td][td]20[/td][td]0,02[/td][td][/td][/tr]</v>
      </c>
      <c r="T32" s="116" t="str">
        <f t="shared" si="4"/>
        <v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</v>
      </c>
      <c r="U32" s="116" t="str">
        <f xml:space="preserve"> IF( IFERROR(G32,0)&gt;0, CONCATENATE(  newline &amp; V32 &amp; W32 &amp; X32 &amp; Y32 &amp; Z32 &amp; AA32 &amp; AB32 &amp; AC32 &amp; AD32 &amp; AE32 &amp; AF32 &amp; AG32 ), "" )</f>
        <v xml:space="preserve">
Demountable Tanks   J-2                     1        20         0</v>
      </c>
      <c r="V32" s="116" t="str">
        <f t="shared" si="7"/>
        <v>Demountable Tanks</v>
      </c>
      <c r="W32" s="116" t="str">
        <f t="shared" si="8"/>
        <v xml:space="preserve">   </v>
      </c>
      <c r="X32" s="117" t="str">
        <f xml:space="preserve"> IF( D32&lt;&gt;0, CONCATENATE( "J-" &amp; D32 ), "" )</f>
        <v>J-2</v>
      </c>
      <c r="Y32" s="116" t="str">
        <f t="shared" si="9"/>
        <v xml:space="preserve">            </v>
      </c>
      <c r="Z32" s="117" t="str">
        <f t="shared" si="10"/>
        <v xml:space="preserve">     </v>
      </c>
      <c r="AA32" s="117" t="str">
        <f t="shared" si="16"/>
        <v/>
      </c>
      <c r="AB32" s="117" t="str">
        <f t="shared" si="14"/>
        <v xml:space="preserve">    </v>
      </c>
      <c r="AC32" s="117">
        <f t="shared" si="17"/>
        <v>1</v>
      </c>
      <c r="AD32" s="117" t="str">
        <f t="shared" si="12"/>
        <v xml:space="preserve">        </v>
      </c>
      <c r="AE32" s="117">
        <f t="shared" si="18"/>
        <v>20</v>
      </c>
      <c r="AF32" s="116" t="str">
        <f t="shared" si="13"/>
        <v xml:space="preserve">         </v>
      </c>
      <c r="AG32" s="117">
        <f t="shared" si="19"/>
        <v>0</v>
      </c>
      <c r="AH32" s="16" t="str">
        <f>""</f>
        <v/>
      </c>
      <c r="AI32" s="70"/>
      <c r="AJ32" s="67"/>
      <c r="AK32" s="71"/>
      <c r="AL32" s="69"/>
      <c r="BV32" s="110"/>
    </row>
    <row r="33" spans="1:93" ht="10" customHeight="1">
      <c r="A33" s="23" t="s">
        <v>422</v>
      </c>
      <c r="C33" s="35">
        <f>1*(D33&gt;0)</f>
        <v>0</v>
      </c>
      <c r="D33" s="72">
        <v>0</v>
      </c>
      <c r="E33" s="34"/>
      <c r="F33" s="36"/>
      <c r="G33" s="25">
        <f>C33*D33/100</f>
        <v>0</v>
      </c>
      <c r="H33" s="25">
        <f>G33*0.5/10</f>
        <v>0</v>
      </c>
      <c r="I33" s="37"/>
      <c r="J33" s="20"/>
      <c r="K33" s="25"/>
      <c r="L33" s="102"/>
      <c r="S33" s="116" t="str">
        <f t="shared" si="15"/>
        <v>[tr][td]Collapsible Tanks[/td][td][/td][td]0[/td][td]0[/td][td][/td][td][/td][td][/td][td][/td][td][/td][/tr]</v>
      </c>
      <c r="T33" s="116" t="str">
        <f t="shared" si="4"/>
        <v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</v>
      </c>
      <c r="U33" s="116" t="str">
        <f xml:space="preserve"> IF( IFERROR(G33,0)&gt;0, CONCATENATE(  newline &amp; V33 &amp; W33 &amp; X33 &amp; Y33 &amp; Z33 &amp; AA33 &amp; AB33 &amp; AC33 &amp; AD33 &amp; AE33 &amp; AF33 &amp; AG33 ), "" )</f>
        <v/>
      </c>
      <c r="V33" s="116" t="str">
        <f t="shared" si="7"/>
        <v>Collapsible Tanks</v>
      </c>
      <c r="W33" s="116" t="str">
        <f t="shared" si="8"/>
        <v xml:space="preserve">   </v>
      </c>
      <c r="X33" s="117" t="str">
        <f xml:space="preserve"> IF( D33&lt;&gt;0, CONCATENATE( D33 &amp; " Dton" ), "" )</f>
        <v/>
      </c>
      <c r="Y33" s="116" t="str">
        <f t="shared" si="9"/>
        <v xml:space="preserve">               </v>
      </c>
      <c r="Z33" s="117" t="str">
        <f t="shared" si="10"/>
        <v xml:space="preserve">     </v>
      </c>
      <c r="AA33" s="117" t="str">
        <f t="shared" si="16"/>
        <v/>
      </c>
      <c r="AB33" s="117" t="str">
        <f t="shared" si="14"/>
        <v xml:space="preserve">     </v>
      </c>
      <c r="AC33" s="117" t="str">
        <f t="shared" si="17"/>
        <v/>
      </c>
      <c r="AD33" s="117" t="str">
        <f t="shared" si="12"/>
        <v xml:space="preserve">          </v>
      </c>
      <c r="AE33" s="117" t="str">
        <f t="shared" si="18"/>
        <v/>
      </c>
      <c r="AF33" s="116" t="str">
        <f t="shared" si="13"/>
        <v xml:space="preserve">          </v>
      </c>
      <c r="AG33" s="117" t="str">
        <f t="shared" si="19"/>
        <v/>
      </c>
      <c r="AH33" s="16" t="str">
        <f>""</f>
        <v/>
      </c>
      <c r="BD33" s="50"/>
      <c r="BE33" s="50"/>
      <c r="BF33" s="50"/>
      <c r="BG33" s="50"/>
      <c r="BH33" s="50"/>
      <c r="BI33" s="50"/>
      <c r="BJ33" s="50"/>
      <c r="BL33" s="50"/>
      <c r="BM33" s="50"/>
      <c r="BN33" s="50"/>
      <c r="BO33" s="50"/>
      <c r="BP33" s="50"/>
      <c r="BQ33" s="50"/>
      <c r="BR33" s="50"/>
      <c r="BS33" s="133"/>
      <c r="BV33" s="110"/>
      <c r="BW33" s="50"/>
      <c r="BX33" s="50"/>
      <c r="BY33" s="50"/>
      <c r="BZ33" s="50"/>
      <c r="CA33" s="50"/>
      <c r="CB33" s="50"/>
      <c r="CC33" s="50"/>
      <c r="CF33" s="50"/>
      <c r="CG33" s="50"/>
      <c r="CH33" s="50"/>
      <c r="CI33" s="50"/>
      <c r="CJ33" s="50"/>
      <c r="CK33" s="50"/>
      <c r="CL33" s="50"/>
    </row>
    <row r="34" spans="1:93" ht="10" customHeight="1">
      <c r="A34" s="23"/>
      <c r="C34" s="34"/>
      <c r="D34" s="34"/>
      <c r="E34" s="34"/>
      <c r="F34" s="36"/>
      <c r="G34" s="25"/>
      <c r="H34" s="25"/>
      <c r="I34" s="37"/>
      <c r="J34" s="20"/>
      <c r="K34" s="25"/>
      <c r="L34" s="102"/>
      <c r="S34" s="116" t="str">
        <f t="shared" si="15"/>
        <v>[tr][td][/td][td][/td][td][/td][td][/td][td][/td][td][/td][td][/td][td][/td][td][/td][/tr]</v>
      </c>
      <c r="T34" s="116" t="str">
        <f t="shared" si="4"/>
        <v xml:space="preserve"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                                                                 </v>
      </c>
      <c r="U34" s="116" t="str">
        <f t="shared" si="6"/>
        <v xml:space="preserve">
                                                                 </v>
      </c>
      <c r="V34" s="116" t="str">
        <f t="shared" si="7"/>
        <v/>
      </c>
      <c r="W34" s="116" t="str">
        <f t="shared" si="8"/>
        <v xml:space="preserve">                    </v>
      </c>
      <c r="X34" s="117" t="str">
        <f t="shared" si="22"/>
        <v/>
      </c>
      <c r="Y34" s="116" t="str">
        <f t="shared" si="9"/>
        <v xml:space="preserve">               </v>
      </c>
      <c r="Z34" s="117" t="str">
        <f t="shared" si="10"/>
        <v xml:space="preserve">     </v>
      </c>
      <c r="AA34" s="117" t="str">
        <f t="shared" si="16"/>
        <v/>
      </c>
      <c r="AB34" s="117" t="str">
        <f t="shared" si="14"/>
        <v xml:space="preserve">     </v>
      </c>
      <c r="AC34" s="117" t="str">
        <f t="shared" si="17"/>
        <v/>
      </c>
      <c r="AD34" s="117" t="str">
        <f t="shared" si="12"/>
        <v xml:space="preserve">          </v>
      </c>
      <c r="AE34" s="117" t="str">
        <f t="shared" si="18"/>
        <v/>
      </c>
      <c r="AF34" s="116" t="str">
        <f t="shared" si="13"/>
        <v xml:space="preserve">          </v>
      </c>
      <c r="AG34" s="117" t="str">
        <f t="shared" si="19"/>
        <v/>
      </c>
      <c r="AH34" s="16" t="str">
        <f>""</f>
        <v/>
      </c>
      <c r="BD34" s="50"/>
      <c r="BE34" s="50"/>
      <c r="BF34" s="50"/>
      <c r="BG34" s="50"/>
      <c r="BH34" s="50"/>
      <c r="BI34" s="50"/>
      <c r="BJ34" s="50"/>
      <c r="BL34" s="50"/>
      <c r="BM34" s="50"/>
      <c r="BN34" s="50"/>
      <c r="BO34" s="50"/>
      <c r="BP34" s="50"/>
      <c r="BQ34" s="50"/>
      <c r="BR34" s="50"/>
      <c r="BS34" s="133"/>
      <c r="BV34" s="110"/>
      <c r="BW34" s="50"/>
      <c r="BX34" s="50"/>
      <c r="BY34" s="50"/>
      <c r="BZ34" s="50"/>
      <c r="CA34" s="50"/>
      <c r="CB34" s="50"/>
      <c r="CC34" s="50"/>
      <c r="CF34" s="50"/>
      <c r="CG34" s="50"/>
      <c r="CH34" s="50"/>
      <c r="CI34" s="50"/>
      <c r="CJ34" s="50"/>
      <c r="CK34" s="50"/>
      <c r="CL34" s="50"/>
    </row>
    <row r="35" spans="1:93" ht="10" customHeight="1">
      <c r="A35" s="23"/>
      <c r="B35" s="23" t="s">
        <v>423</v>
      </c>
      <c r="C35" s="73" t="s">
        <v>49</v>
      </c>
      <c r="D35" s="74" t="s">
        <v>75</v>
      </c>
      <c r="E35" s="34"/>
      <c r="F35" s="36"/>
      <c r="G35" s="25"/>
      <c r="H35" s="25"/>
      <c r="I35" s="37"/>
      <c r="J35" s="20"/>
      <c r="K35" s="25"/>
      <c r="L35" s="102"/>
      <c r="S35" s="116" t="str">
        <f t="shared" si="15"/>
        <v>[tr][td][/td][td]Wpn Type[/td][td]#[/td][td]Type[/td][td][/td][td][/td][td][/td][td][/td][td][/td][/tr]</v>
      </c>
      <c r="T35" s="116" t="str">
        <f t="shared" ref="T35:T66" si="36" xml:space="preserve"> CONCATENATE( INDEX($T$1:$T$97,ROW(T35)-1),U35 )</f>
        <v xml:space="preserve"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                                                                 </v>
      </c>
      <c r="U35" s="116" t="str">
        <f>""</f>
        <v/>
      </c>
      <c r="W35" s="116" t="str">
        <f t="shared" si="8"/>
        <v xml:space="preserve">                    </v>
      </c>
      <c r="X35" s="117" t="str">
        <f xml:space="preserve"> IF( D35&lt;&gt;0, D35, "" )</f>
        <v>Type</v>
      </c>
      <c r="Y35" s="116" t="str">
        <f t="shared" si="9"/>
        <v xml:space="preserve">           </v>
      </c>
      <c r="Z35" s="117" t="str">
        <f t="shared" si="10"/>
        <v xml:space="preserve">     </v>
      </c>
      <c r="AA35" s="117" t="str">
        <f t="shared" si="16"/>
        <v/>
      </c>
      <c r="AB35" s="117" t="str">
        <f t="shared" si="14"/>
        <v xml:space="preserve">    </v>
      </c>
      <c r="AC35" s="117" t="str">
        <f t="shared" si="17"/>
        <v>#</v>
      </c>
      <c r="AD35" s="117" t="str">
        <f t="shared" si="12"/>
        <v xml:space="preserve">          </v>
      </c>
      <c r="AE35" s="117" t="str">
        <f t="shared" si="18"/>
        <v/>
      </c>
      <c r="AF35" s="116" t="str">
        <f t="shared" si="13"/>
        <v xml:space="preserve">          </v>
      </c>
      <c r="AG35" s="117" t="str">
        <f t="shared" si="19"/>
        <v/>
      </c>
      <c r="AH35" s="16" t="str">
        <f>""</f>
        <v/>
      </c>
      <c r="BD35" s="50"/>
      <c r="BE35" s="50"/>
      <c r="BF35" s="50"/>
      <c r="BG35" s="50"/>
      <c r="BH35" s="50"/>
      <c r="BI35" s="50"/>
      <c r="BJ35" s="50"/>
      <c r="BL35" s="50"/>
      <c r="BM35" s="50"/>
      <c r="BN35" s="50"/>
      <c r="BO35" s="50"/>
      <c r="BP35" s="50"/>
      <c r="BQ35" s="50"/>
      <c r="BR35" s="50"/>
      <c r="BS35" s="133"/>
      <c r="BV35" s="110"/>
      <c r="BW35" s="50"/>
      <c r="BX35" s="50"/>
      <c r="BY35" s="50"/>
      <c r="BZ35" s="50"/>
      <c r="CA35" s="50"/>
      <c r="CB35" s="50"/>
      <c r="CC35" s="50"/>
      <c r="CF35" s="50"/>
      <c r="CG35" s="50"/>
      <c r="CH35" s="50"/>
      <c r="CI35" s="50"/>
      <c r="CJ35" s="50"/>
      <c r="CK35" s="50"/>
      <c r="CL35" s="50"/>
    </row>
    <row r="36" spans="1:93" ht="10" customHeight="1">
      <c r="A36" s="75">
        <f xml:space="preserve"> BT36</f>
        <v>0</v>
      </c>
      <c r="B36" s="16" t="str">
        <f>AI36</f>
        <v>None</v>
      </c>
      <c r="C36" s="34">
        <f>1*(D36&lt;&gt;"None")</f>
        <v>0</v>
      </c>
      <c r="D36" s="76" t="s">
        <v>325</v>
      </c>
      <c r="E36" s="34" t="str">
        <f>""</f>
        <v/>
      </c>
      <c r="F36" s="36" t="str">
        <f>IF(  AND( $AK36&lt;=L36, C36&gt;0 ),  AJ36,  "0"  )</f>
        <v>0</v>
      </c>
      <c r="G36" s="25">
        <f>$C36*IF(  $AK36&lt;=$L36,  AL36,  0  )</f>
        <v>0</v>
      </c>
      <c r="H36" s="25">
        <f>$C36*IF(  $AK36&lt;=$L36,  AM36,  0  )</f>
        <v>0</v>
      </c>
      <c r="I36" s="37">
        <f>$C36*IF(  $AK36&lt;=$L36,  -AN36,  0  )</f>
        <v>0</v>
      </c>
      <c r="J36" s="77">
        <f>-G36/100</f>
        <v>0</v>
      </c>
      <c r="K36" s="25">
        <f>C36*G36/100</f>
        <v>0</v>
      </c>
      <c r="L36" s="102">
        <f t="shared" si="20"/>
        <v>12</v>
      </c>
      <c r="S36" s="116" t="str">
        <f xml:space="preserve"> CONCATENATE(  "[tr]",  "[td]","Spinal","[/td]", "[td]",B36,"[/td]", "[td]",C36,"[/td]", "[td]",D36,"[/td]", "[td]",E36,"[/td]", "[td]",F36,"[/td]", "[td]",IF(G36&lt;&gt;0,G36,""),"[/td]", "[td]",IF(H36&lt;&gt;0,H36,""),"[/td]", "[td]",IF(I36&lt;&gt;0,I36,""),"[/td]",  "[/tr]" )</f>
        <v>[tr][td]Spinal[/td][td]None[/td][td]0[/td][td]None[/td][td][/td][td]0[/td][td][/td][td][/td][td][/td][/tr]</v>
      </c>
      <c r="T36" s="116" t="str">
        <f t="shared" si="36"/>
        <v xml:space="preserve"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                                                                 </v>
      </c>
      <c r="U36" s="116" t="str">
        <f xml:space="preserve"> IF( IFERROR($G$36,0)&gt;0, CONCATENATE(  newline &amp; V36 &amp; W36 &amp; X36 &amp; Y36 &amp; Z36 &amp; AA36 &amp; AB36 &amp; AC36 &amp; AD36 &amp; AE36 &amp; AF36 &amp; AG36 ), "" )</f>
        <v/>
      </c>
      <c r="V36" s="116" t="s">
        <v>144</v>
      </c>
      <c r="W36" s="116" t="str">
        <f t="shared" si="8"/>
        <v xml:space="preserve">              </v>
      </c>
      <c r="X36" s="117" t="str">
        <f xml:space="preserve"> CONCATENATE( AI36 &amp; " " &amp; AJ36 )</f>
        <v>None 0</v>
      </c>
      <c r="Y36" s="116" t="str">
        <f t="shared" si="9"/>
        <v xml:space="preserve">         </v>
      </c>
      <c r="Z36" s="117" t="str">
        <f t="shared" si="10"/>
        <v xml:space="preserve">    </v>
      </c>
      <c r="AA36" s="117" t="str">
        <f t="shared" si="16"/>
        <v>0</v>
      </c>
      <c r="AB36" s="117" t="str">
        <f t="shared" si="14"/>
        <v xml:space="preserve">     </v>
      </c>
      <c r="AC36" s="117" t="str">
        <f t="shared" si="17"/>
        <v/>
      </c>
      <c r="AD36" s="117" t="str">
        <f t="shared" si="12"/>
        <v xml:space="preserve">          </v>
      </c>
      <c r="AE36" s="117" t="str">
        <f t="shared" si="18"/>
        <v/>
      </c>
      <c r="AF36" s="116" t="str">
        <f t="shared" si="13"/>
        <v xml:space="preserve">          </v>
      </c>
      <c r="AG36" s="117" t="str">
        <f t="shared" si="19"/>
        <v/>
      </c>
      <c r="AH36" s="16" t="str">
        <f>""</f>
        <v/>
      </c>
      <c r="AI36" s="16" t="str">
        <f>VLOOKUP(  $D36,  Tables!$A$240:$G$276,  2,  FALSE  )</f>
        <v>None</v>
      </c>
      <c r="AJ36" s="50">
        <f>VLOOKUP(  $D36,  Tables!$A$240:$G$276,  3,  FALSE  )</f>
        <v>0</v>
      </c>
      <c r="AK36" s="16">
        <f>VLOOKUP(  $D36,  Tables!$A$240:$G$276,  4,  FALSE  )</f>
        <v>0</v>
      </c>
      <c r="AL36" s="16">
        <f>VLOOKUP(  $D36,  Tables!$A$240:$G$276,  5,  FALSE  )</f>
        <v>0</v>
      </c>
      <c r="AM36" s="16">
        <f>VLOOKUP(  $D36,  Tables!$A$240:$G$276,  6,  FALSE  )</f>
        <v>0</v>
      </c>
      <c r="AN36" s="16">
        <f>VLOOKUP(  $D36,  Tables!$A$240:$G$276,  7,  FALSE  )</f>
        <v>0</v>
      </c>
      <c r="BD36" s="50">
        <f>IF( AND( $B36=BD$29, $AL36&lt;Hull ),  VLOOKUP($F36,Tables!$A$3:$B$37,2),  0  )</f>
        <v>0</v>
      </c>
      <c r="BE36" s="50">
        <f>IF( AND( $B36=BE$29, $AL36&lt;Hull ),  VLOOKUP($F36,Tables!$A$3:$B$37,2),  0  )</f>
        <v>0</v>
      </c>
      <c r="BF36" s="50">
        <f>IF( AND( $B36=BF$29, $AL36&lt;Hull ),  VLOOKUP($F36,Tables!$A$3:$B$37,2),  0  )</f>
        <v>0</v>
      </c>
      <c r="BG36" s="50">
        <f>IF( AND( $B36=BG$29, $AL36&lt;Hull ),  VLOOKUP($F36,Tables!$A$3:$B$37,2),  0  )</f>
        <v>0</v>
      </c>
      <c r="BH36" s="50">
        <f>IF( AND( $B36=BH$29, $AL36&lt;Hull ),  VLOOKUP($F36,Tables!$A$3:$B$37,2),  0  )</f>
        <v>0</v>
      </c>
      <c r="BI36" s="50">
        <f>IF( AND( $B36=BI$29, $AL36&lt;Hull ),  VLOOKUP($F36,Tables!$A$3:$B$37,2),  0  )</f>
        <v>0</v>
      </c>
      <c r="BJ36" s="50">
        <f>IF( AND( $B36=BJ$29, $AL36&lt;Hull ),  VLOOKUP($F36,Tables!$A$3:$B$37,2),  0  )</f>
        <v>0</v>
      </c>
      <c r="BL36" s="78">
        <v>0</v>
      </c>
      <c r="BM36" s="78">
        <v>0</v>
      </c>
      <c r="BN36" s="78">
        <v>0</v>
      </c>
      <c r="BO36" s="78">
        <v>0</v>
      </c>
      <c r="BP36" s="78">
        <v>0</v>
      </c>
      <c r="BQ36" s="78">
        <v>0</v>
      </c>
      <c r="BR36" s="78">
        <v>0</v>
      </c>
      <c r="BT36" s="16">
        <f xml:space="preserve"> MAX( BL36:BR36 )*0 + (C36&gt;0)*( IF( G36&lt;=0, 1, 0 ) + 1*($AL36&gt;Hull) )</f>
        <v>0</v>
      </c>
      <c r="BV36" s="110"/>
      <c r="BW36" s="50">
        <f xml:space="preserve"> BD36 * ($BT36=0)</f>
        <v>0</v>
      </c>
      <c r="BX36" s="50">
        <f t="shared" ref="BX36:CC36" si="37" xml:space="preserve"> BE36 * ($BT36=0)</f>
        <v>0</v>
      </c>
      <c r="BY36" s="50">
        <f t="shared" si="37"/>
        <v>0</v>
      </c>
      <c r="BZ36" s="50">
        <f t="shared" si="37"/>
        <v>0</v>
      </c>
      <c r="CA36" s="50">
        <f t="shared" si="37"/>
        <v>0</v>
      </c>
      <c r="CB36" s="50">
        <f t="shared" si="37"/>
        <v>0</v>
      </c>
      <c r="CC36" s="50">
        <f t="shared" si="37"/>
        <v>0</v>
      </c>
      <c r="CF36" s="50">
        <f>IF( $B36=CF$29,  ($C36&gt;0)*($BT36=0),  0 )</f>
        <v>0</v>
      </c>
      <c r="CG36" s="50">
        <f t="shared" ref="CG36:CL36" si="38">IF( $B36=CG$29,  ($C36&gt;0)*($BT36=0),  0 )</f>
        <v>0</v>
      </c>
      <c r="CH36" s="50">
        <f t="shared" si="38"/>
        <v>0</v>
      </c>
      <c r="CI36" s="50">
        <f t="shared" si="38"/>
        <v>0</v>
      </c>
      <c r="CJ36" s="50">
        <f t="shared" si="38"/>
        <v>0</v>
      </c>
      <c r="CK36" s="50">
        <f t="shared" si="38"/>
        <v>0</v>
      </c>
      <c r="CL36" s="50">
        <f t="shared" si="38"/>
        <v>0</v>
      </c>
    </row>
    <row r="37" spans="1:93" ht="10" customHeight="1">
      <c r="A37" s="23"/>
      <c r="B37" s="23" t="s">
        <v>209</v>
      </c>
      <c r="C37" s="73" t="s">
        <v>49</v>
      </c>
      <c r="D37" s="74" t="s">
        <v>75</v>
      </c>
      <c r="E37" s="34"/>
      <c r="F37" s="36"/>
      <c r="G37" s="25"/>
      <c r="H37" s="25"/>
      <c r="I37" s="37"/>
      <c r="J37" s="77"/>
      <c r="K37" s="25"/>
      <c r="L37" s="102"/>
      <c r="S37" s="116" t="str">
        <f t="shared" si="15"/>
        <v>[tr][td][/td][td]Wpn Type[/td][td]#[/td][td]Type[/td][td][/td][td][/td][td][/td][td][/td][td][/td][/tr]</v>
      </c>
      <c r="T37" s="116" t="str">
        <f t="shared" si="36"/>
        <v xml:space="preserve"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                                                                 </v>
      </c>
      <c r="U37" s="116" t="str">
        <f>""</f>
        <v/>
      </c>
      <c r="V37" s="116" t="str">
        <f t="shared" si="7"/>
        <v/>
      </c>
      <c r="W37" s="116" t="str">
        <f t="shared" si="8"/>
        <v xml:space="preserve">                    </v>
      </c>
      <c r="X37" s="117" t="str">
        <f xml:space="preserve"> IF( D37&lt;&gt;0, D37, "" )</f>
        <v>Type</v>
      </c>
      <c r="Y37" s="116" t="str">
        <f t="shared" si="9"/>
        <v xml:space="preserve">           </v>
      </c>
      <c r="Z37" s="117" t="str">
        <f t="shared" si="10"/>
        <v xml:space="preserve">     </v>
      </c>
      <c r="AA37" s="117" t="str">
        <f t="shared" si="16"/>
        <v/>
      </c>
      <c r="AB37" s="117" t="str">
        <f t="shared" si="14"/>
        <v xml:space="preserve">    </v>
      </c>
      <c r="AC37" s="117" t="str">
        <f t="shared" si="17"/>
        <v>#</v>
      </c>
      <c r="AD37" s="117" t="str">
        <f t="shared" si="12"/>
        <v xml:space="preserve">          </v>
      </c>
      <c r="AE37" s="117" t="str">
        <f t="shared" si="18"/>
        <v/>
      </c>
      <c r="AF37" s="116" t="str">
        <f t="shared" si="13"/>
        <v xml:space="preserve">          </v>
      </c>
      <c r="AG37" s="117" t="str">
        <f t="shared" si="19"/>
        <v/>
      </c>
      <c r="AH37" s="16" t="str">
        <f>""</f>
        <v/>
      </c>
      <c r="BV37" s="110"/>
    </row>
    <row r="38" spans="1:93" ht="10" customHeight="1">
      <c r="A38" s="79">
        <f xml:space="preserve"> BT38</f>
        <v>0</v>
      </c>
      <c r="B38" s="16" t="str">
        <f>AJ38</f>
        <v>None</v>
      </c>
      <c r="C38" s="35">
        <f>1*(D38&lt;&gt;"None")</f>
        <v>0</v>
      </c>
      <c r="D38" s="76" t="s">
        <v>325</v>
      </c>
      <c r="E38" s="34"/>
      <c r="F38" s="36" t="str">
        <f>IF( C38&gt;0, AN38, "" )</f>
        <v/>
      </c>
      <c r="G38" s="25">
        <f>C38*AK38*(F38&gt;0)</f>
        <v>0</v>
      </c>
      <c r="H38" s="25">
        <f>C38*AL38*(F38&gt;0) + G38*0.01</f>
        <v>0</v>
      </c>
      <c r="I38" s="37">
        <f>C38*-AM38*(F38&gt;0)</f>
        <v>0</v>
      </c>
      <c r="J38" s="77">
        <f>-C38*10*(F38&gt;0)</f>
        <v>0</v>
      </c>
      <c r="K38" s="25">
        <f>(C38*2)*(F38&gt;0)</f>
        <v>0</v>
      </c>
      <c r="L38" s="102">
        <f t="shared" si="20"/>
        <v>12</v>
      </c>
      <c r="S38" s="116" t="str">
        <f xml:space="preserve"> CONCATENATE(  "[tr]",  "[td]","Bay","[/td]", "[td]",B38,"[/td]", "[td]",C38,"[/td]", "[td]",D38,"[/td]", "[td]",E38,"[/td]", "[td]",F38,"[/td]", "[td]",IF(G38&lt;&gt;0,G38,""),"[/td]", "[td]",IF(H38&lt;&gt;0,H38,""),"[/td]", "[td]",IF(I38&lt;&gt;0,I38,""),"[/td]",  "[/tr]" )</f>
        <v>[tr][td]Bay[/td][td]None[/td][td]0[/td][td]None[/td][td][/td][td][/td][td][/td][td][/td][td][/td][/tr]</v>
      </c>
      <c r="T38" s="116" t="str">
        <f t="shared" si="36"/>
        <v xml:space="preserve"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                                                                 </v>
      </c>
      <c r="U38" s="116" t="str">
        <f xml:space="preserve"> IF( IFERROR(G38,0)&gt;0, CONCATENATE(  newline &amp; V38 &amp; W38 &amp; X38 &amp; Y38 &amp; Z38 &amp; AA38 &amp; AB38 &amp; AC38 &amp; AD38 &amp; AE38 &amp; AF38 &amp; AG38 ), "" )</f>
        <v/>
      </c>
      <c r="V38" s="116" t="s">
        <v>145</v>
      </c>
      <c r="W38" s="116" t="str">
        <f t="shared" si="8"/>
        <v xml:space="preserve">                 </v>
      </c>
      <c r="X38" s="117" t="str">
        <f t="shared" si="22"/>
        <v>None</v>
      </c>
      <c r="Y38" s="116" t="str">
        <f t="shared" si="9"/>
        <v xml:space="preserve">           </v>
      </c>
      <c r="Z38" s="117" t="str">
        <f t="shared" si="10"/>
        <v xml:space="preserve">     </v>
      </c>
      <c r="AA38" s="117" t="str">
        <f t="shared" si="16"/>
        <v/>
      </c>
      <c r="AB38" s="117" t="str">
        <f t="shared" si="14"/>
        <v xml:space="preserve">     </v>
      </c>
      <c r="AC38" s="117" t="str">
        <f t="shared" si="17"/>
        <v/>
      </c>
      <c r="AD38" s="117" t="str">
        <f t="shared" si="12"/>
        <v xml:space="preserve">          </v>
      </c>
      <c r="AE38" s="117" t="str">
        <f t="shared" si="18"/>
        <v/>
      </c>
      <c r="AF38" s="116" t="str">
        <f t="shared" si="13"/>
        <v xml:space="preserve">          </v>
      </c>
      <c r="AG38" s="117" t="str">
        <f t="shared" si="19"/>
        <v/>
      </c>
      <c r="AH38" s="16" t="str">
        <f>""</f>
        <v/>
      </c>
      <c r="AI38" s="16" t="str">
        <f>VLOOKUP(  $D38,  Tables!$A$280:$O$292,  1,  0  )</f>
        <v>None</v>
      </c>
      <c r="AJ38" s="50" t="str">
        <f>VLOOKUP(  $D38,  Tables!$A$280:$O$292,  2,  0  )</f>
        <v>None</v>
      </c>
      <c r="AK38" s="16">
        <f>VLOOKUP(  $D38,  Tables!$A$280:$O$292,  3,  0  )</f>
        <v>0</v>
      </c>
      <c r="AL38" s="16">
        <f>VLOOKUP(  $D38,  Tables!$A$280:$O$292,  4,  0  )</f>
        <v>0</v>
      </c>
      <c r="AM38" s="16">
        <f>VLOOKUP(  $D38,  Tables!$A$280:$O$292,  5,  0  )</f>
        <v>0</v>
      </c>
      <c r="AN38" s="16">
        <f>VLOOKUP(  $D38,  Tables!$A$280:$O$292,  $L38,  0  )</f>
        <v>0</v>
      </c>
      <c r="BD38" s="50">
        <f>IF( OR( $B38=BD$29, $B38=BD$30),  IF( $F38&lt;&gt;"", VALUE($F38), 0),  0  )</f>
        <v>0</v>
      </c>
      <c r="BE38" s="50">
        <f t="shared" ref="BE38:BJ40" si="39">IF( OR( $B38=BE$29, $B38=BE$30),  IF( $F38&lt;&gt;"", VALUE($F38), 0),  0  )</f>
        <v>0</v>
      </c>
      <c r="BF38" s="50">
        <f t="shared" si="39"/>
        <v>0</v>
      </c>
      <c r="BG38" s="50">
        <f t="shared" si="39"/>
        <v>0</v>
      </c>
      <c r="BH38" s="50">
        <f t="shared" si="39"/>
        <v>0</v>
      </c>
      <c r="BI38" s="50">
        <f t="shared" si="39"/>
        <v>0</v>
      </c>
      <c r="BJ38" s="50">
        <f t="shared" si="39"/>
        <v>0</v>
      </c>
      <c r="BL38" s="78">
        <f t="shared" ref="BL38:BR40" si="40" xml:space="preserve"> IF( AND( BD38&lt;&gt;0, MAX(BD$36:BD$56)&lt;&gt;BD38 ), 1, 0 )</f>
        <v>0</v>
      </c>
      <c r="BM38" s="78">
        <f t="shared" si="40"/>
        <v>0</v>
      </c>
      <c r="BN38" s="78">
        <f t="shared" si="40"/>
        <v>0</v>
      </c>
      <c r="BO38" s="78">
        <f t="shared" si="40"/>
        <v>0</v>
      </c>
      <c r="BP38" s="78">
        <f t="shared" si="40"/>
        <v>0</v>
      </c>
      <c r="BQ38" s="78">
        <f t="shared" si="40"/>
        <v>0</v>
      </c>
      <c r="BR38" s="78">
        <f t="shared" si="40"/>
        <v>0</v>
      </c>
      <c r="BS38" s="135"/>
      <c r="BT38" s="111">
        <f xml:space="preserve"> MAX( BL38:BR38 )</f>
        <v>0</v>
      </c>
      <c r="BV38" s="110"/>
      <c r="BW38" s="50">
        <f t="shared" ref="BW38:BW40" si="41" xml:space="preserve"> BD38 * ($BT38=0)</f>
        <v>0</v>
      </c>
      <c r="BX38" s="50">
        <f t="shared" ref="BX38:BX40" si="42" xml:space="preserve"> BE38 * ($BT38=0)</f>
        <v>0</v>
      </c>
      <c r="BY38" s="50">
        <f t="shared" ref="BY38:BY40" si="43" xml:space="preserve"> BF38 * ($BT38=0)</f>
        <v>0</v>
      </c>
      <c r="BZ38" s="50">
        <f t="shared" ref="BZ38:BZ40" si="44" xml:space="preserve"> BG38 * ($BT38=0)</f>
        <v>0</v>
      </c>
      <c r="CA38" s="50">
        <f t="shared" ref="CA38:CA40" si="45" xml:space="preserve"> BH38 * ($BT38=0)</f>
        <v>0</v>
      </c>
      <c r="CB38" s="50">
        <f t="shared" ref="CB38:CB40" si="46" xml:space="preserve"> BI38 * ($BT38=0)</f>
        <v>0</v>
      </c>
      <c r="CC38" s="50">
        <f t="shared" ref="CC38:CC40" si="47" xml:space="preserve"> BJ38 * ($BT38=0)</f>
        <v>0</v>
      </c>
      <c r="CF38" s="50">
        <f t="shared" ref="CF38:CL40" si="48">IF( OR( $B38=CF$29, $B38=CF$30),  IF( AND($F38&lt;&gt;"",$F38&gt;0,$BT38=0), $C38, 0),  0  )</f>
        <v>0</v>
      </c>
      <c r="CG38" s="50">
        <f t="shared" si="48"/>
        <v>0</v>
      </c>
      <c r="CH38" s="50">
        <f t="shared" si="48"/>
        <v>0</v>
      </c>
      <c r="CI38" s="50">
        <f t="shared" si="48"/>
        <v>0</v>
      </c>
      <c r="CJ38" s="50">
        <f t="shared" si="48"/>
        <v>0</v>
      </c>
      <c r="CK38" s="50">
        <f t="shared" si="48"/>
        <v>0</v>
      </c>
      <c r="CL38" s="50">
        <f t="shared" si="48"/>
        <v>0</v>
      </c>
    </row>
    <row r="39" spans="1:93" ht="10" customHeight="1">
      <c r="A39" s="79">
        <f t="shared" ref="A39:A40" si="49" xml:space="preserve"> BT39</f>
        <v>0</v>
      </c>
      <c r="B39" s="16" t="str">
        <f>AJ39</f>
        <v>None</v>
      </c>
      <c r="C39" s="35">
        <f>1*(D39&lt;&gt;"None")</f>
        <v>0</v>
      </c>
      <c r="D39" s="76" t="s">
        <v>325</v>
      </c>
      <c r="E39" s="34"/>
      <c r="F39" s="36" t="str">
        <f>IF( C39&gt;0, AN39, "" )</f>
        <v/>
      </c>
      <c r="G39" s="25">
        <f>C39*AK39*(F39&gt;0)</f>
        <v>0</v>
      </c>
      <c r="H39" s="25">
        <f t="shared" ref="H39:H40" si="50">C39*AL39*(F39&gt;0) + G39*0.01</f>
        <v>0</v>
      </c>
      <c r="I39" s="37">
        <f>C39*-AM39*(F39&gt;0)</f>
        <v>0</v>
      </c>
      <c r="J39" s="77">
        <f>-C39*10*(F39&gt;0)</f>
        <v>0</v>
      </c>
      <c r="K39" s="25">
        <f t="shared" ref="K39:K40" si="51">(C39*2)*(F39&gt;0)</f>
        <v>0</v>
      </c>
      <c r="L39" s="102">
        <f t="shared" si="20"/>
        <v>12</v>
      </c>
      <c r="S39" s="116" t="str">
        <f t="shared" ref="S39:S40" si="52" xml:space="preserve"> CONCATENATE(  "[tr]",  "[td]","Bay","[/td]", "[td]",B39,"[/td]", "[td]",C39,"[/td]", "[td]",D39,"[/td]", "[td]",E39,"[/td]", "[td]",F39,"[/td]", "[td]",IF(G39&lt;&gt;0,G39,""),"[/td]", "[td]",IF(H39&lt;&gt;0,H39,""),"[/td]", "[td]",IF(I39&lt;&gt;0,I39,""),"[/td]",  "[/tr]" )</f>
        <v>[tr][td]Bay[/td][td]None[/td][td]0[/td][td]None[/td][td][/td][td][/td][td][/td][td][/td][td][/td][/tr]</v>
      </c>
      <c r="T39" s="116" t="str">
        <f t="shared" si="36"/>
        <v xml:space="preserve"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                                                                 </v>
      </c>
      <c r="U39" s="116" t="str">
        <f t="shared" ref="U39:U45" si="53" xml:space="preserve"> IF( IFERROR(G39,0)&gt;0, CONCATENATE(  newline &amp; V39 &amp; W39 &amp; X39 &amp; Y39 &amp; Z39 &amp; AA39 &amp; AB39 &amp; AC39 &amp; AD39 &amp; AE39 &amp; AF39 &amp; AG39 ), "" )</f>
        <v/>
      </c>
      <c r="V39" s="116" t="s">
        <v>145</v>
      </c>
      <c r="W39" s="116" t="str">
        <f t="shared" si="8"/>
        <v xml:space="preserve">                 </v>
      </c>
      <c r="X39" s="117" t="str">
        <f t="shared" si="22"/>
        <v>None</v>
      </c>
      <c r="Y39" s="116" t="str">
        <f t="shared" si="9"/>
        <v xml:space="preserve">           </v>
      </c>
      <c r="Z39" s="117" t="str">
        <f t="shared" si="10"/>
        <v xml:space="preserve">     </v>
      </c>
      <c r="AA39" s="117" t="str">
        <f t="shared" si="16"/>
        <v/>
      </c>
      <c r="AB39" s="117" t="str">
        <f t="shared" si="14"/>
        <v xml:space="preserve">     </v>
      </c>
      <c r="AC39" s="117" t="str">
        <f t="shared" si="17"/>
        <v/>
      </c>
      <c r="AD39" s="117" t="str">
        <f t="shared" si="12"/>
        <v xml:space="preserve">          </v>
      </c>
      <c r="AE39" s="117" t="str">
        <f t="shared" si="18"/>
        <v/>
      </c>
      <c r="AF39" s="116" t="str">
        <f t="shared" si="13"/>
        <v xml:space="preserve">          </v>
      </c>
      <c r="AG39" s="117" t="str">
        <f t="shared" si="19"/>
        <v/>
      </c>
      <c r="AH39" s="16" t="str">
        <f>""</f>
        <v/>
      </c>
      <c r="AI39" s="16" t="str">
        <f>VLOOKUP(  $D39,  Tables!$A$280:$O$292,  1,  0  )</f>
        <v>None</v>
      </c>
      <c r="AJ39" s="50" t="str">
        <f>VLOOKUP(  $D39,  Tables!$A$280:$O$292,  2,  0  )</f>
        <v>None</v>
      </c>
      <c r="AK39" s="16">
        <f>VLOOKUP(  $D39,  Tables!$A$280:$O$292,  3,  0  )</f>
        <v>0</v>
      </c>
      <c r="AL39" s="16">
        <f>VLOOKUP(  $D39,  Tables!$A$280:$O$292,  4,  0  )</f>
        <v>0</v>
      </c>
      <c r="AM39" s="16">
        <f>VLOOKUP(  $D39,  Tables!$A$280:$O$292,  5,  0  )</f>
        <v>0</v>
      </c>
      <c r="AN39" s="100">
        <f>VLOOKUP(  $D39,  Tables!$A$280:$O$292,  $L39,  0  )</f>
        <v>0</v>
      </c>
      <c r="BD39" s="50">
        <f t="shared" ref="BD39:BD40" si="54">IF( OR( $B39=BD$29, $B39=BD$30),  IF( $F39&lt;&gt;"", VALUE($F39), 0),  0  )</f>
        <v>0</v>
      </c>
      <c r="BE39" s="50">
        <f t="shared" si="39"/>
        <v>0</v>
      </c>
      <c r="BF39" s="50">
        <f t="shared" si="39"/>
        <v>0</v>
      </c>
      <c r="BG39" s="50">
        <f t="shared" si="39"/>
        <v>0</v>
      </c>
      <c r="BH39" s="50">
        <f t="shared" si="39"/>
        <v>0</v>
      </c>
      <c r="BI39" s="50">
        <f t="shared" si="39"/>
        <v>0</v>
      </c>
      <c r="BJ39" s="50">
        <f t="shared" si="39"/>
        <v>0</v>
      </c>
      <c r="BL39" s="78">
        <f t="shared" si="40"/>
        <v>0</v>
      </c>
      <c r="BM39" s="78">
        <f t="shared" si="40"/>
        <v>0</v>
      </c>
      <c r="BN39" s="78">
        <f t="shared" si="40"/>
        <v>0</v>
      </c>
      <c r="BO39" s="78">
        <f t="shared" si="40"/>
        <v>0</v>
      </c>
      <c r="BP39" s="78">
        <f t="shared" si="40"/>
        <v>0</v>
      </c>
      <c r="BQ39" s="78">
        <f t="shared" si="40"/>
        <v>0</v>
      </c>
      <c r="BR39" s="78">
        <f t="shared" si="40"/>
        <v>0</v>
      </c>
      <c r="BS39" s="135"/>
      <c r="BT39" s="111">
        <f xml:space="preserve"> MAX( BL39:BR39 )</f>
        <v>0</v>
      </c>
      <c r="BV39" s="110"/>
      <c r="BW39" s="50">
        <f t="shared" si="41"/>
        <v>0</v>
      </c>
      <c r="BX39" s="50">
        <f t="shared" si="42"/>
        <v>0</v>
      </c>
      <c r="BY39" s="50">
        <f t="shared" si="43"/>
        <v>0</v>
      </c>
      <c r="BZ39" s="50">
        <f t="shared" si="44"/>
        <v>0</v>
      </c>
      <c r="CA39" s="50">
        <f t="shared" si="45"/>
        <v>0</v>
      </c>
      <c r="CB39" s="50">
        <f t="shared" si="46"/>
        <v>0</v>
      </c>
      <c r="CC39" s="50">
        <f t="shared" si="47"/>
        <v>0</v>
      </c>
      <c r="CF39" s="50">
        <f t="shared" si="48"/>
        <v>0</v>
      </c>
      <c r="CG39" s="50">
        <f t="shared" si="48"/>
        <v>0</v>
      </c>
      <c r="CH39" s="50">
        <f t="shared" si="48"/>
        <v>0</v>
      </c>
      <c r="CI39" s="50">
        <f t="shared" si="48"/>
        <v>0</v>
      </c>
      <c r="CJ39" s="50">
        <f t="shared" si="48"/>
        <v>0</v>
      </c>
      <c r="CK39" s="50">
        <f t="shared" si="48"/>
        <v>0</v>
      </c>
      <c r="CL39" s="50">
        <f t="shared" si="48"/>
        <v>0</v>
      </c>
    </row>
    <row r="40" spans="1:93" ht="10" customHeight="1">
      <c r="A40" s="79">
        <f t="shared" si="49"/>
        <v>0</v>
      </c>
      <c r="B40" s="16" t="str">
        <f>AJ40</f>
        <v>None</v>
      </c>
      <c r="C40" s="35">
        <f>1*(D40&lt;&gt;"None")</f>
        <v>0</v>
      </c>
      <c r="D40" s="76" t="s">
        <v>325</v>
      </c>
      <c r="E40" s="34"/>
      <c r="F40" s="36" t="str">
        <f>IF( C40&gt;0, AN40, "" )</f>
        <v/>
      </c>
      <c r="G40" s="25">
        <f>C40*AK40*(F40&gt;0)</f>
        <v>0</v>
      </c>
      <c r="H40" s="25">
        <f t="shared" si="50"/>
        <v>0</v>
      </c>
      <c r="I40" s="37">
        <f>C40*-AM40*(F40&gt;0)</f>
        <v>0</v>
      </c>
      <c r="J40" s="77">
        <f>-C40*10*(F40&gt;0)</f>
        <v>0</v>
      </c>
      <c r="K40" s="25">
        <f t="shared" si="51"/>
        <v>0</v>
      </c>
      <c r="L40" s="102">
        <f t="shared" si="20"/>
        <v>12</v>
      </c>
      <c r="S40" s="116" t="str">
        <f t="shared" si="52"/>
        <v>[tr][td]Bay[/td][td]None[/td][td]0[/td][td]None[/td][td][/td][td][/td][td][/td][td][/td][td][/td][/tr]</v>
      </c>
      <c r="T40" s="116" t="str">
        <f t="shared" si="36"/>
        <v xml:space="preserve"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                                                                 </v>
      </c>
      <c r="U40" s="116" t="str">
        <f t="shared" si="53"/>
        <v/>
      </c>
      <c r="V40" s="116" t="s">
        <v>145</v>
      </c>
      <c r="W40" s="116" t="str">
        <f t="shared" si="8"/>
        <v xml:space="preserve">                 </v>
      </c>
      <c r="X40" s="117" t="str">
        <f t="shared" si="22"/>
        <v>None</v>
      </c>
      <c r="Y40" s="116" t="str">
        <f t="shared" si="9"/>
        <v xml:space="preserve">           </v>
      </c>
      <c r="Z40" s="117" t="str">
        <f t="shared" si="10"/>
        <v xml:space="preserve">     </v>
      </c>
      <c r="AA40" s="117" t="str">
        <f t="shared" si="16"/>
        <v/>
      </c>
      <c r="AB40" s="117" t="str">
        <f t="shared" si="14"/>
        <v xml:space="preserve">     </v>
      </c>
      <c r="AC40" s="117" t="str">
        <f t="shared" si="17"/>
        <v/>
      </c>
      <c r="AD40" s="117" t="str">
        <f t="shared" si="12"/>
        <v xml:space="preserve">          </v>
      </c>
      <c r="AE40" s="117" t="str">
        <f t="shared" si="18"/>
        <v/>
      </c>
      <c r="AF40" s="116" t="str">
        <f t="shared" si="13"/>
        <v xml:space="preserve">          </v>
      </c>
      <c r="AG40" s="117" t="str">
        <f t="shared" si="19"/>
        <v/>
      </c>
      <c r="AH40" s="16" t="str">
        <f>""</f>
        <v/>
      </c>
      <c r="AI40" s="16" t="str">
        <f>VLOOKUP(  $D40,  Tables!$A$280:$O$292,  1,  0  )</f>
        <v>None</v>
      </c>
      <c r="AJ40" s="50" t="str">
        <f>VLOOKUP(  $D40,  Tables!$A$280:$O$292,  2,  0  )</f>
        <v>None</v>
      </c>
      <c r="AK40" s="16">
        <f>VLOOKUP(  $D40,  Tables!$A$280:$O$292,  3,  0  )</f>
        <v>0</v>
      </c>
      <c r="AL40" s="16">
        <f>VLOOKUP(  $D40,  Tables!$A$280:$O$292,  4,  0  )</f>
        <v>0</v>
      </c>
      <c r="AM40" s="16">
        <f>VLOOKUP(  $D40,  Tables!$A$280:$O$292,  5,  0  )</f>
        <v>0</v>
      </c>
      <c r="AN40" s="100">
        <f>VLOOKUP(  $D40,  Tables!$A$280:$O$292,  $L40,  0  )</f>
        <v>0</v>
      </c>
      <c r="BD40" s="50">
        <f t="shared" si="54"/>
        <v>0</v>
      </c>
      <c r="BE40" s="50">
        <f t="shared" si="39"/>
        <v>0</v>
      </c>
      <c r="BF40" s="50">
        <f t="shared" si="39"/>
        <v>0</v>
      </c>
      <c r="BG40" s="50">
        <f t="shared" si="39"/>
        <v>0</v>
      </c>
      <c r="BH40" s="50">
        <f t="shared" si="39"/>
        <v>0</v>
      </c>
      <c r="BI40" s="50">
        <f t="shared" si="39"/>
        <v>0</v>
      </c>
      <c r="BJ40" s="50">
        <f t="shared" si="39"/>
        <v>0</v>
      </c>
      <c r="BL40" s="78">
        <f t="shared" si="40"/>
        <v>0</v>
      </c>
      <c r="BM40" s="78">
        <f t="shared" si="40"/>
        <v>0</v>
      </c>
      <c r="BN40" s="78">
        <f t="shared" si="40"/>
        <v>0</v>
      </c>
      <c r="BO40" s="78">
        <f t="shared" si="40"/>
        <v>0</v>
      </c>
      <c r="BP40" s="78">
        <f t="shared" si="40"/>
        <v>0</v>
      </c>
      <c r="BQ40" s="78">
        <f t="shared" si="40"/>
        <v>0</v>
      </c>
      <c r="BR40" s="78">
        <f t="shared" si="40"/>
        <v>0</v>
      </c>
      <c r="BS40" s="135"/>
      <c r="BT40" s="111">
        <f xml:space="preserve"> MAX( BL40:BR40 )</f>
        <v>0</v>
      </c>
      <c r="BV40" s="110"/>
      <c r="BW40" s="50">
        <f t="shared" si="41"/>
        <v>0</v>
      </c>
      <c r="BX40" s="50">
        <f t="shared" si="42"/>
        <v>0</v>
      </c>
      <c r="BY40" s="50">
        <f t="shared" si="43"/>
        <v>0</v>
      </c>
      <c r="BZ40" s="50">
        <f t="shared" si="44"/>
        <v>0</v>
      </c>
      <c r="CA40" s="50">
        <f t="shared" si="45"/>
        <v>0</v>
      </c>
      <c r="CB40" s="50">
        <f t="shared" si="46"/>
        <v>0</v>
      </c>
      <c r="CC40" s="50">
        <f t="shared" si="47"/>
        <v>0</v>
      </c>
      <c r="CF40" s="50">
        <f t="shared" si="48"/>
        <v>0</v>
      </c>
      <c r="CG40" s="50">
        <f t="shared" si="48"/>
        <v>0</v>
      </c>
      <c r="CH40" s="50">
        <f t="shared" si="48"/>
        <v>0</v>
      </c>
      <c r="CI40" s="50">
        <f t="shared" si="48"/>
        <v>0</v>
      </c>
      <c r="CJ40" s="50">
        <f t="shared" si="48"/>
        <v>0</v>
      </c>
      <c r="CK40" s="50">
        <f t="shared" si="48"/>
        <v>0</v>
      </c>
      <c r="CL40" s="50">
        <f t="shared" si="48"/>
        <v>0</v>
      </c>
    </row>
    <row r="41" spans="1:93" ht="10" customHeight="1">
      <c r="A41" s="23"/>
      <c r="B41" s="23" t="s">
        <v>210</v>
      </c>
      <c r="C41" s="73" t="s">
        <v>49</v>
      </c>
      <c r="D41" s="73" t="s">
        <v>76</v>
      </c>
      <c r="E41" s="73" t="s">
        <v>77</v>
      </c>
      <c r="F41" s="36"/>
      <c r="G41" s="25"/>
      <c r="H41" s="25"/>
      <c r="I41" s="37"/>
      <c r="J41" s="77"/>
      <c r="K41" s="25"/>
      <c r="L41" s="102"/>
      <c r="S41" s="116" t="str">
        <f t="shared" si="15"/>
        <v>[tr][td][/td][td]Wpn Type[/td][td]#[/td][td]Wpn/Tu[/td][td]Tu/B[/td][td][/td][td][/td][td][/td][td][/td][/tr]</v>
      </c>
      <c r="T41" s="116" t="str">
        <f t="shared" si="36"/>
        <v xml:space="preserve"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                                                                 </v>
      </c>
      <c r="U41" s="116" t="str">
        <f>""</f>
        <v/>
      </c>
      <c r="V41" s="116" t="str">
        <f t="shared" si="7"/>
        <v/>
      </c>
      <c r="W41" s="116" t="str">
        <f t="shared" si="8"/>
        <v xml:space="preserve">                    </v>
      </c>
      <c r="X41" s="117" t="str">
        <f xml:space="preserve"> IF( D41&lt;&gt;0, D41, "" )</f>
        <v>Wpn/Tu</v>
      </c>
      <c r="Y41" s="116" t="str">
        <f t="shared" si="9"/>
        <v xml:space="preserve">         </v>
      </c>
      <c r="Z41" s="117" t="str">
        <f t="shared" si="10"/>
        <v xml:space="preserve">     </v>
      </c>
      <c r="AA41" s="117" t="str">
        <f t="shared" si="16"/>
        <v/>
      </c>
      <c r="AB41" s="117" t="str">
        <f t="shared" si="14"/>
        <v xml:space="preserve">    </v>
      </c>
      <c r="AC41" s="117" t="str">
        <f t="shared" si="17"/>
        <v>#</v>
      </c>
      <c r="AD41" s="117" t="str">
        <f t="shared" si="12"/>
        <v xml:space="preserve">          </v>
      </c>
      <c r="AE41" s="117" t="str">
        <f t="shared" si="18"/>
        <v/>
      </c>
      <c r="AF41" s="116" t="str">
        <f t="shared" si="13"/>
        <v xml:space="preserve">          </v>
      </c>
      <c r="AG41" s="117" t="str">
        <f t="shared" si="19"/>
        <v/>
      </c>
      <c r="AH41" s="16" t="str">
        <f>""</f>
        <v/>
      </c>
      <c r="AN41" s="28" t="s">
        <v>368</v>
      </c>
      <c r="AO41" s="28" t="s">
        <v>65</v>
      </c>
      <c r="AP41" s="28" t="s">
        <v>28</v>
      </c>
      <c r="AQ41" s="28" t="s">
        <v>28</v>
      </c>
      <c r="AR41" s="28">
        <v>1</v>
      </c>
      <c r="AS41" s="28">
        <v>2</v>
      </c>
      <c r="AT41" s="28">
        <v>3</v>
      </c>
      <c r="AU41" s="28">
        <v>4</v>
      </c>
      <c r="AV41" s="28">
        <v>5</v>
      </c>
      <c r="AW41" s="28">
        <v>6</v>
      </c>
      <c r="AX41" s="28">
        <v>7</v>
      </c>
      <c r="AY41" s="28">
        <v>8</v>
      </c>
      <c r="AZ41" s="28">
        <v>9</v>
      </c>
      <c r="BA41" s="28" t="s">
        <v>153</v>
      </c>
      <c r="BL41" s="78"/>
      <c r="BM41" s="78"/>
      <c r="BN41" s="78"/>
      <c r="BO41" s="78"/>
      <c r="BP41" s="78"/>
      <c r="BQ41" s="78"/>
      <c r="BR41" s="78"/>
      <c r="BS41" s="135"/>
      <c r="BV41" s="110"/>
      <c r="CO41" s="28" t="s">
        <v>32</v>
      </c>
    </row>
    <row r="42" spans="1:93" ht="10" customHeight="1">
      <c r="A42" s="80">
        <f xml:space="preserve"> BT42</f>
        <v>0</v>
      </c>
      <c r="B42" s="21" t="s">
        <v>62</v>
      </c>
      <c r="C42" s="35">
        <v>0</v>
      </c>
      <c r="D42" s="35">
        <f>AM42</f>
        <v>3</v>
      </c>
      <c r="E42" s="35">
        <f>1*(C42&gt;0)</f>
        <v>0</v>
      </c>
      <c r="F42" s="36" t="str">
        <f>IF( C42&gt;0, TEXT(BA42,0), "" )</f>
        <v/>
      </c>
      <c r="G42" s="25">
        <f>C42*AJ42*E42*($BA42&gt;0)</f>
        <v>0</v>
      </c>
      <c r="H42" s="25">
        <f xml:space="preserve"> C42 * ( E42 * MIN(D42,AM42) * AK42 * ($BA42&gt;0) + CO42 )</f>
        <v>0</v>
      </c>
      <c r="I42" s="37">
        <f>C42*E42*MIN(D42,AM42)*-AL42*($BA42&gt;0)</f>
        <v>0</v>
      </c>
      <c r="J42" s="77">
        <f>-C42*E42*($BA42&gt;0)</f>
        <v>0</v>
      </c>
      <c r="K42" s="25">
        <f>IF( OR(Tonnage&lt;=1000,LBB&gt;0),  C42*E42,  (C42)*($BA42&gt;0)  )</f>
        <v>0</v>
      </c>
      <c r="L42" s="102">
        <f t="shared" si="20"/>
        <v>12</v>
      </c>
      <c r="M42" s="38"/>
      <c r="N42" s="38"/>
      <c r="O42" s="38"/>
      <c r="P42" s="38"/>
      <c r="Q42" s="38"/>
      <c r="R42" s="38"/>
      <c r="S42" s="116" t="str">
        <f xml:space="preserve"> CONCATENATE(  "[tr]",  "[td]","Turret","[/td]", "[td]",B42,"[/td]", "[td]",C42,"[/td]", "[td]",D42,"[/td]", "[td]",E42,"[/td]", "[td]",F42,"[/td]", "[td]",IF(G42&lt;&gt;0,G42,""),"[/td]", "[td]",IF(H42&lt;&gt;0,H42,""),"[/td]", "[td]",IF(I42&lt;&gt;0,I42,""),"[/td]",  "[/tr]" )</f>
        <v>[tr][td]Turret[/td][td]Missile[/td][td]0[/td][td]3[/td][td]0[/td][td][/td][td][/td][td][/td][td][/td][/tr]</v>
      </c>
      <c r="T42" s="116" t="str">
        <f t="shared" si="36"/>
        <v xml:space="preserve"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                                                                 </v>
      </c>
      <c r="U42" s="116" t="str">
        <f t="shared" si="53"/>
        <v/>
      </c>
      <c r="V42" s="116" t="str">
        <f xml:space="preserve"> LEFT( CONCATENATE( "Turret-" &amp; MIN(D42,AM42) &amp; " " &amp; B42 ), 19 )</f>
        <v>Turret-3 Missile</v>
      </c>
      <c r="W42" s="116" t="str">
        <f t="shared" si="8"/>
        <v xml:space="preserve">    </v>
      </c>
      <c r="X42" s="116" t="str">
        <f xml:space="preserve"> CONCATENATE( E42 &amp; " Turret" &amp; IF(E42&gt;1,"s","") )</f>
        <v>0 Turret</v>
      </c>
      <c r="Y42" s="116" t="str">
        <f t="shared" si="9"/>
        <v xml:space="preserve">       </v>
      </c>
      <c r="Z42" s="117" t="str">
        <f t="shared" si="10"/>
        <v xml:space="preserve">     </v>
      </c>
      <c r="AA42" s="117" t="str">
        <f t="shared" si="16"/>
        <v/>
      </c>
      <c r="AB42" s="117" t="str">
        <f t="shared" si="14"/>
        <v xml:space="preserve">     </v>
      </c>
      <c r="AC42" s="117" t="str">
        <f t="shared" si="17"/>
        <v/>
      </c>
      <c r="AD42" s="117" t="str">
        <f t="shared" si="12"/>
        <v xml:space="preserve">          </v>
      </c>
      <c r="AE42" s="117" t="str">
        <f t="shared" si="18"/>
        <v/>
      </c>
      <c r="AF42" s="116" t="str">
        <f t="shared" si="13"/>
        <v xml:space="preserve">          </v>
      </c>
      <c r="AG42" s="117" t="str">
        <f t="shared" si="19"/>
        <v/>
      </c>
      <c r="AH42" s="16" t="str">
        <f>""</f>
        <v/>
      </c>
      <c r="AI42" s="16" t="str">
        <f>IF(ISNA(VLOOKUP(B42,Tables!$B$296:$S$304,1,0)),"None",VLOOKUP(B42,Tables!$B$296:$S$304,1,0))</f>
        <v>Missile</v>
      </c>
      <c r="AJ42" s="16">
        <f>VLOOKUP($AI42,Tables!$B$296:$S$304,2,0)</f>
        <v>1</v>
      </c>
      <c r="AK42" s="16">
        <f>VLOOKUP($AI42,Tables!$B$296:$S$304,3,0)</f>
        <v>0.75</v>
      </c>
      <c r="AL42" s="16">
        <f>VLOOKUP($AI42,Tables!$B$296:$S$304,4,0)</f>
        <v>0</v>
      </c>
      <c r="AM42" s="98">
        <f xml:space="preserve"> IF(  AND(OR(B42=$BG$29,B42=$BG$30),E42=1),  1,  VLOOKUP($AI42,Tables!$B$296:$S$304,5,0)  )</f>
        <v>3</v>
      </c>
      <c r="AN42" s="38">
        <f>MIN(D42,AM42)*E42</f>
        <v>0</v>
      </c>
      <c r="AO42" s="16">
        <f>VLOOKUP($AI42,Tables!$B$296:$S$304,6,0)</f>
        <v>7</v>
      </c>
      <c r="AP42" s="16">
        <f>IF($L42&gt;=VLOOKUP($AI42,Tables!$B$296:$S$304,7,0),1,0)</f>
        <v>0</v>
      </c>
      <c r="AQ42" s="16">
        <f>IF($L42&gt;=VLOOKUP($AI42,Tables!$B$296:$S$304,8,0),1,0)</f>
        <v>0</v>
      </c>
      <c r="AR42" s="16">
        <f>IF($AN42&gt;=VLOOKUP($AI42,Tables!$B$296:$S$304,9+AR$31,0),1,0)</f>
        <v>0</v>
      </c>
      <c r="AS42" s="16">
        <f>IF($AN42&gt;=VLOOKUP($AI42,Tables!$B$296:$S$304,9+AS$31,0),1,0)</f>
        <v>0</v>
      </c>
      <c r="AT42" s="16">
        <f>IF($AN42&gt;=VLOOKUP($AI42,Tables!$B$296:$S$304,9+AT$31,0),1,0)</f>
        <v>0</v>
      </c>
      <c r="AU42" s="16">
        <f>IF($AN42&gt;=VLOOKUP($AI42,Tables!$B$296:$S$304,9+AU$31,0),1,0)</f>
        <v>0</v>
      </c>
      <c r="AV42" s="16">
        <f>IF($AN42&gt;=VLOOKUP($AI42,Tables!$B$296:$S$304,9+AV$31,0),1,0)</f>
        <v>0</v>
      </c>
      <c r="AW42" s="16">
        <f>IF($AN42&gt;=VLOOKUP($AI42,Tables!$B$296:$S$304,9+AW$31,0),1,0)</f>
        <v>0</v>
      </c>
      <c r="AX42" s="16">
        <f>IF($AN42&gt;=VLOOKUP($AI42,Tables!$B$296:$S$304,9+AX$31,0),1,0)</f>
        <v>0</v>
      </c>
      <c r="AY42" s="16">
        <f>IF($AN42&gt;=VLOOKUP($AI42,Tables!$B$296:$S$304,9+AY$31,0),1,0)</f>
        <v>0</v>
      </c>
      <c r="AZ42" s="16">
        <f>IF($AN42&gt;=VLOOKUP($AI42,Tables!$B$296:$S$304,9+AZ$31,0),1,0)</f>
        <v>0</v>
      </c>
      <c r="BA42" s="16">
        <f>SUM(AP42:AZ42)*($L42&gt;=AO42)*(AN42&gt;0)</f>
        <v>0</v>
      </c>
      <c r="BD42" s="50">
        <f t="shared" ref="BD42:BJ46" si="55">IF( OR( $B42=BD$29, $B42=BD$30),  IF( $F42&lt;&gt;"", VALUE($F42), 0),  0  )</f>
        <v>0</v>
      </c>
      <c r="BE42" s="50">
        <f t="shared" si="55"/>
        <v>0</v>
      </c>
      <c r="BF42" s="50">
        <f t="shared" si="55"/>
        <v>0</v>
      </c>
      <c r="BG42" s="50">
        <f t="shared" si="55"/>
        <v>0</v>
      </c>
      <c r="BH42" s="50">
        <f t="shared" si="55"/>
        <v>0</v>
      </c>
      <c r="BI42" s="50">
        <f t="shared" si="55"/>
        <v>0</v>
      </c>
      <c r="BJ42" s="50">
        <f t="shared" si="55"/>
        <v>0</v>
      </c>
      <c r="BL42" s="78">
        <f t="shared" ref="BL42:BR47" si="56" xml:space="preserve"> IF( AND( BD42&lt;&gt;0, MAX(BD$36:BD$56)&lt;&gt;BD42 ), 1, 0 )</f>
        <v>0</v>
      </c>
      <c r="BM42" s="78">
        <f t="shared" si="56"/>
        <v>0</v>
      </c>
      <c r="BN42" s="78">
        <f t="shared" si="56"/>
        <v>0</v>
      </c>
      <c r="BO42" s="78">
        <f t="shared" si="56"/>
        <v>0</v>
      </c>
      <c r="BP42" s="78">
        <f t="shared" si="56"/>
        <v>0</v>
      </c>
      <c r="BQ42" s="78">
        <f t="shared" si="56"/>
        <v>0</v>
      </c>
      <c r="BR42" s="78">
        <f t="shared" si="56"/>
        <v>0</v>
      </c>
      <c r="BS42" s="135"/>
      <c r="BT42" s="16">
        <f t="shared" ref="BT42:BT45" si="57" xml:space="preserve"> MAX( BL42:BR42 )</f>
        <v>0</v>
      </c>
      <c r="BV42" s="110"/>
      <c r="BW42" s="50">
        <f t="shared" ref="BW42:BW46" si="58" xml:space="preserve"> BD42 * ($BT42=0)</f>
        <v>0</v>
      </c>
      <c r="BX42" s="50">
        <f t="shared" ref="BX42:BX47" si="59" xml:space="preserve"> BE42 * ($BT42=0)</f>
        <v>0</v>
      </c>
      <c r="BY42" s="50">
        <f t="shared" ref="BY42:BY46" si="60" xml:space="preserve"> BF42 * ($BT42=0)</f>
        <v>0</v>
      </c>
      <c r="BZ42" s="50">
        <f t="shared" ref="BZ42:BZ46" si="61" xml:space="preserve"> BG42 * ($BT42=0)</f>
        <v>0</v>
      </c>
      <c r="CA42" s="50">
        <f t="shared" ref="CA42:CA46" si="62" xml:space="preserve"> BH42 * ($BT42=0)</f>
        <v>0</v>
      </c>
      <c r="CB42" s="50">
        <f t="shared" ref="CB42:CB46" si="63" xml:space="preserve"> BI42 * ($BT42=0)</f>
        <v>0</v>
      </c>
      <c r="CC42" s="50">
        <f t="shared" ref="CC42:CC46" si="64" xml:space="preserve"> BJ42 * ($BT42=0)</f>
        <v>0</v>
      </c>
      <c r="CF42" s="50">
        <f t="shared" ref="CF42:CL46" si="65">IF( OR( $B42=CF$29, $B42=CF$30),  IF( AND($F42&lt;&gt;"",$F42&gt;0,$BT42=0), $C42, 0),  0  )</f>
        <v>0</v>
      </c>
      <c r="CG42" s="50">
        <f t="shared" si="65"/>
        <v>0</v>
      </c>
      <c r="CH42" s="50">
        <f t="shared" si="65"/>
        <v>0</v>
      </c>
      <c r="CI42" s="50">
        <f t="shared" si="65"/>
        <v>0</v>
      </c>
      <c r="CJ42" s="50">
        <f t="shared" si="65"/>
        <v>0</v>
      </c>
      <c r="CK42" s="50">
        <f t="shared" si="65"/>
        <v>0</v>
      </c>
      <c r="CL42" s="50">
        <f t="shared" si="65"/>
        <v>0</v>
      </c>
      <c r="CO42" s="16">
        <f xml:space="preserve"> IF(  LBB&gt;0,  VLOOKUP( $D42, Tables!$A$308:$D$311, 4 ) + 0.1,  0  )</f>
        <v>0</v>
      </c>
    </row>
    <row r="43" spans="1:93" s="97" customFormat="1" ht="10" customHeight="1">
      <c r="A43" s="80">
        <f t="shared" ref="A43" si="66" xml:space="preserve"> BT43</f>
        <v>0</v>
      </c>
      <c r="B43" s="21" t="s">
        <v>339</v>
      </c>
      <c r="C43" s="35">
        <v>0</v>
      </c>
      <c r="D43" s="35">
        <f>AM43</f>
        <v>3</v>
      </c>
      <c r="E43" s="35">
        <f>1*(C43&gt;0)</f>
        <v>0</v>
      </c>
      <c r="F43" s="36" t="str">
        <f>IF( C43&gt;0, TEXT(BA43,0), "" )</f>
        <v/>
      </c>
      <c r="G43" s="25">
        <f>C43*AJ43*E43*($BA43&gt;0)</f>
        <v>0</v>
      </c>
      <c r="H43" s="25">
        <f xml:space="preserve"> C43 * ( E43 * MIN(D43,AM43) * AK43 * ($BA43&gt;0) + CO43 )</f>
        <v>0</v>
      </c>
      <c r="I43" s="37">
        <f>C43*E43*MIN(D43,AM43)*-AL43*($BA43&gt;0)</f>
        <v>0</v>
      </c>
      <c r="J43" s="77">
        <f>-C43*E43*($BA43&gt;0)</f>
        <v>0</v>
      </c>
      <c r="K43" s="25">
        <f t="shared" ref="K43:K45" si="67">IF( Tonnage&lt;=1000,  C43*E43,  (C43)*($BA43&gt;0)  )</f>
        <v>0</v>
      </c>
      <c r="L43" s="102">
        <f t="shared" si="20"/>
        <v>12</v>
      </c>
      <c r="S43" s="116" t="str">
        <f t="shared" ref="S43" si="68" xml:space="preserve"> CONCATENATE(  "[tr]",  "[td]","Turret","[/td]", "[td]",B43,"[/td]", "[td]",C43,"[/td]", "[td]",D43,"[/td]", "[td]",E43,"[/td]", "[td]",F43,"[/td]", "[td]",IF(G43&lt;&gt;0,G43,""),"[/td]", "[td]",IF(H43&lt;&gt;0,H43,""),"[/td]", "[td]",IF(I43&lt;&gt;0,I43,""),"[/td]",  "[/tr]" )</f>
        <v>[tr][td]Turret[/td][td]Beam[/td][td]0[/td][td]3[/td][td]0[/td][td][/td][td][/td][td][/td][td][/td][/tr]</v>
      </c>
      <c r="T43" s="116" t="str">
        <f t="shared" si="36"/>
        <v xml:space="preserve"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                                                                 </v>
      </c>
      <c r="U43" s="116" t="str">
        <f t="shared" si="53"/>
        <v/>
      </c>
      <c r="V43" s="116" t="str">
        <f t="shared" ref="V43:V45" si="69" xml:space="preserve"> LEFT( CONCATENATE( "Turret-" &amp; MIN(D43,AM43) &amp; " " &amp; B43 ), 19 )</f>
        <v>Turret-3 Beam</v>
      </c>
      <c r="W43" s="116" t="str">
        <f t="shared" si="8"/>
        <v xml:space="preserve">       </v>
      </c>
      <c r="X43" s="116" t="str">
        <f t="shared" ref="X43:X45" si="70" xml:space="preserve"> CONCATENATE( E43 &amp; " Turret" &amp; IF(E43&gt;1,"s","") )</f>
        <v>0 Turret</v>
      </c>
      <c r="Y43" s="116" t="str">
        <f t="shared" si="9"/>
        <v xml:space="preserve">       </v>
      </c>
      <c r="Z43" s="117" t="str">
        <f t="shared" si="10"/>
        <v xml:space="preserve">     </v>
      </c>
      <c r="AA43" s="117" t="str">
        <f t="shared" si="16"/>
        <v/>
      </c>
      <c r="AB43" s="117" t="str">
        <f t="shared" si="14"/>
        <v xml:space="preserve">     </v>
      </c>
      <c r="AC43" s="117" t="str">
        <f t="shared" si="17"/>
        <v/>
      </c>
      <c r="AD43" s="117" t="str">
        <f t="shared" si="12"/>
        <v xml:space="preserve">          </v>
      </c>
      <c r="AE43" s="117" t="str">
        <f t="shared" si="18"/>
        <v/>
      </c>
      <c r="AF43" s="116" t="str">
        <f t="shared" si="13"/>
        <v xml:space="preserve">          </v>
      </c>
      <c r="AG43" s="117" t="str">
        <f t="shared" si="19"/>
        <v/>
      </c>
      <c r="AH43" s="97" t="str">
        <f>""</f>
        <v/>
      </c>
      <c r="AI43" s="97" t="str">
        <f>IF(ISNA(VLOOKUP(B43,Tables!$B$296:$S$304,1,0)),"None",VLOOKUP(B43,Tables!$B$296:$S$304,1,0))</f>
        <v>Beam</v>
      </c>
      <c r="AJ43" s="97">
        <f>VLOOKUP($AI43,Tables!$B$296:$S$304,2,0)</f>
        <v>1</v>
      </c>
      <c r="AK43" s="97">
        <f>VLOOKUP($AI43,Tables!$B$296:$S$304,3,0)</f>
        <v>1</v>
      </c>
      <c r="AL43" s="97">
        <f>VLOOKUP($AI43,Tables!$B$296:$S$304,4,0)</f>
        <v>1</v>
      </c>
      <c r="AM43" s="100">
        <f xml:space="preserve"> IF(  AND(OR(B43=$BG$29,B43=$BG$30),E43=1),  1,  VLOOKUP($AI43,Tables!$B$296:$S$304,5,0)  )</f>
        <v>3</v>
      </c>
      <c r="AN43" s="38">
        <f>MIN(D43,AM43)*E43</f>
        <v>0</v>
      </c>
      <c r="AO43" s="97">
        <f>VLOOKUP($AI43,Tables!$B$296:$S$304,6,0)</f>
        <v>7</v>
      </c>
      <c r="AP43" s="100">
        <f>IF($L43&gt;=VLOOKUP($AI43,Tables!$B$296:$S$304,7,0),1,0)</f>
        <v>0</v>
      </c>
      <c r="AQ43" s="100">
        <f>IF($L43&gt;=VLOOKUP($AI43,Tables!$B$296:$S$304,8,0),1,0)</f>
        <v>0</v>
      </c>
      <c r="AR43" s="97">
        <f>IF($AN43&gt;=VLOOKUP($AI43,Tables!$B$296:$S$304,9+AR$31,0),1,0)</f>
        <v>0</v>
      </c>
      <c r="AS43" s="97">
        <f>IF($AN43&gt;=VLOOKUP($AI43,Tables!$B$296:$S$304,9+AS$31,0),1,0)</f>
        <v>0</v>
      </c>
      <c r="AT43" s="97">
        <f>IF($AN43&gt;=VLOOKUP($AI43,Tables!$B$296:$S$304,9+AT$31,0),1,0)</f>
        <v>0</v>
      </c>
      <c r="AU43" s="97">
        <f>IF($AN43&gt;=VLOOKUP($AI43,Tables!$B$296:$S$304,9+AU$31,0),1,0)</f>
        <v>0</v>
      </c>
      <c r="AV43" s="97">
        <f>IF($AN43&gt;=VLOOKUP($AI43,Tables!$B$296:$S$304,9+AV$31,0),1,0)</f>
        <v>0</v>
      </c>
      <c r="AW43" s="97">
        <f>IF($AN43&gt;=VLOOKUP($AI43,Tables!$B$296:$S$304,9+AW$31,0),1,0)</f>
        <v>0</v>
      </c>
      <c r="AX43" s="97">
        <f>IF($AN43&gt;=VLOOKUP($AI43,Tables!$B$296:$S$304,9+AX$31,0),1,0)</f>
        <v>0</v>
      </c>
      <c r="AY43" s="97">
        <f>IF($AN43&gt;=VLOOKUP($AI43,Tables!$B$296:$S$304,9+AY$31,0),1,0)</f>
        <v>0</v>
      </c>
      <c r="AZ43" s="97">
        <f>IF($AN43&gt;=VLOOKUP($AI43,Tables!$B$296:$S$304,9+AZ$31,0),1,0)</f>
        <v>0</v>
      </c>
      <c r="BA43" s="100">
        <f t="shared" ref="BA43:BA46" si="71">SUM(AP43:AZ43)*($L43&gt;=AO43)*(AN43&gt;0)</f>
        <v>0</v>
      </c>
      <c r="BD43" s="50">
        <f t="shared" si="55"/>
        <v>0</v>
      </c>
      <c r="BE43" s="50">
        <f t="shared" si="55"/>
        <v>0</v>
      </c>
      <c r="BF43" s="50">
        <f t="shared" si="55"/>
        <v>0</v>
      </c>
      <c r="BG43" s="50">
        <f t="shared" si="55"/>
        <v>0</v>
      </c>
      <c r="BH43" s="50">
        <f t="shared" si="55"/>
        <v>0</v>
      </c>
      <c r="BI43" s="50">
        <f t="shared" si="55"/>
        <v>0</v>
      </c>
      <c r="BJ43" s="50">
        <f t="shared" si="55"/>
        <v>0</v>
      </c>
      <c r="BK43" s="132"/>
      <c r="BL43" s="78">
        <f t="shared" si="56"/>
        <v>0</v>
      </c>
      <c r="BM43" s="78">
        <f t="shared" si="56"/>
        <v>0</v>
      </c>
      <c r="BN43" s="78">
        <f t="shared" si="56"/>
        <v>0</v>
      </c>
      <c r="BO43" s="78">
        <f t="shared" si="56"/>
        <v>0</v>
      </c>
      <c r="BP43" s="78">
        <f t="shared" si="56"/>
        <v>0</v>
      </c>
      <c r="BQ43" s="78">
        <f t="shared" si="56"/>
        <v>0</v>
      </c>
      <c r="BR43" s="78">
        <f t="shared" si="56"/>
        <v>0</v>
      </c>
      <c r="BS43" s="135"/>
      <c r="BT43" s="97">
        <f t="shared" ref="BT43" si="72" xml:space="preserve"> MAX( BL43:BR43 )</f>
        <v>0</v>
      </c>
      <c r="BU43" s="110"/>
      <c r="BV43" s="110"/>
      <c r="BW43" s="50">
        <f t="shared" si="58"/>
        <v>0</v>
      </c>
      <c r="BX43" s="50">
        <f t="shared" si="59"/>
        <v>0</v>
      </c>
      <c r="BY43" s="50">
        <f t="shared" si="60"/>
        <v>0</v>
      </c>
      <c r="BZ43" s="50">
        <f t="shared" si="61"/>
        <v>0</v>
      </c>
      <c r="CA43" s="50">
        <f t="shared" si="62"/>
        <v>0</v>
      </c>
      <c r="CB43" s="50">
        <f t="shared" si="63"/>
        <v>0</v>
      </c>
      <c r="CC43" s="50">
        <f t="shared" si="64"/>
        <v>0</v>
      </c>
      <c r="CD43" s="110"/>
      <c r="CF43" s="50">
        <f t="shared" si="65"/>
        <v>0</v>
      </c>
      <c r="CG43" s="50">
        <f t="shared" si="65"/>
        <v>0</v>
      </c>
      <c r="CH43" s="50">
        <f t="shared" si="65"/>
        <v>0</v>
      </c>
      <c r="CI43" s="50">
        <f t="shared" si="65"/>
        <v>0</v>
      </c>
      <c r="CJ43" s="50">
        <f t="shared" si="65"/>
        <v>0</v>
      </c>
      <c r="CK43" s="50">
        <f t="shared" si="65"/>
        <v>0</v>
      </c>
      <c r="CL43" s="50">
        <f t="shared" si="65"/>
        <v>0</v>
      </c>
      <c r="CN43" s="132"/>
      <c r="CO43" s="115">
        <f xml:space="preserve"> IF(  LBB&gt;0,  VLOOKUP( $D43, Tables!$A$308:$D$311, 4 ) + 0.1,  0  )</f>
        <v>0</v>
      </c>
    </row>
    <row r="44" spans="1:93" ht="10" customHeight="1">
      <c r="A44" s="80">
        <f t="shared" ref="A44:A47" si="73" xml:space="preserve"> BT44</f>
        <v>0</v>
      </c>
      <c r="B44" s="21" t="s">
        <v>317</v>
      </c>
      <c r="C44" s="35">
        <v>0</v>
      </c>
      <c r="D44" s="35">
        <f>AM44</f>
        <v>2</v>
      </c>
      <c r="E44" s="35">
        <f>1*(C44&gt;0)</f>
        <v>0</v>
      </c>
      <c r="F44" s="36" t="str">
        <f>IF( C44&gt;0, TEXT(BA44,0), "" )</f>
        <v/>
      </c>
      <c r="G44" s="25">
        <f>C44*AJ44*E44*($BA44&gt;0)</f>
        <v>0</v>
      </c>
      <c r="H44" s="25">
        <f xml:space="preserve"> C44 * ( E44 * MIN(D44,AM44) * AK44 * ($BA44&gt;0) + CO44 )</f>
        <v>0</v>
      </c>
      <c r="I44" s="37">
        <f>C44*E44*MIN(D44,AM44)*-AL44*($BA44&gt;0)</f>
        <v>0</v>
      </c>
      <c r="J44" s="77">
        <f>-C44*E44*($BA44&gt;0)</f>
        <v>0</v>
      </c>
      <c r="K44" s="25">
        <f t="shared" si="67"/>
        <v>0</v>
      </c>
      <c r="L44" s="102">
        <f t="shared" si="20"/>
        <v>12</v>
      </c>
      <c r="S44" s="116" t="str">
        <f t="shared" ref="S44:S45" si="74" xml:space="preserve"> CONCATENATE(  "[tr]",  "[td]","Turret","[/td]", "[td]",B44,"[/td]", "[td]",C44,"[/td]", "[td]",D44,"[/td]", "[td]",E44,"[/td]", "[td]",F44,"[/td]", "[td]",IF(G44&lt;&gt;0,G44,""),"[/td]", "[td]",IF(H44&lt;&gt;0,H44,""),"[/td]", "[td]",IF(I44&lt;&gt;0,I44,""),"[/td]",  "[/tr]" )</f>
        <v>[tr][td]Turret[/td][td]Fusion[/td][td]0[/td][td]2[/td][td]0[/td][td][/td][td][/td][td][/td][td][/td][/tr]</v>
      </c>
      <c r="T44" s="116" t="str">
        <f t="shared" si="36"/>
        <v xml:space="preserve"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                                                                 </v>
      </c>
      <c r="U44" s="116" t="str">
        <f t="shared" si="53"/>
        <v/>
      </c>
      <c r="V44" s="116" t="str">
        <f t="shared" si="69"/>
        <v>Turret-2 Fusion</v>
      </c>
      <c r="W44" s="116" t="str">
        <f t="shared" si="8"/>
        <v xml:space="preserve">     </v>
      </c>
      <c r="X44" s="116" t="str">
        <f t="shared" si="70"/>
        <v>0 Turret</v>
      </c>
      <c r="Y44" s="116" t="str">
        <f t="shared" si="9"/>
        <v xml:space="preserve">       </v>
      </c>
      <c r="Z44" s="117" t="str">
        <f t="shared" si="10"/>
        <v xml:space="preserve">     </v>
      </c>
      <c r="AA44" s="117" t="str">
        <f t="shared" si="16"/>
        <v/>
      </c>
      <c r="AB44" s="117" t="str">
        <f t="shared" si="14"/>
        <v xml:space="preserve">     </v>
      </c>
      <c r="AC44" s="117" t="str">
        <f t="shared" si="17"/>
        <v/>
      </c>
      <c r="AD44" s="117" t="str">
        <f t="shared" si="12"/>
        <v xml:space="preserve">          </v>
      </c>
      <c r="AE44" s="117" t="str">
        <f t="shared" si="18"/>
        <v/>
      </c>
      <c r="AF44" s="116" t="str">
        <f t="shared" si="13"/>
        <v xml:space="preserve">          </v>
      </c>
      <c r="AG44" s="117" t="str">
        <f t="shared" si="19"/>
        <v/>
      </c>
      <c r="AH44" s="16" t="str">
        <f>""</f>
        <v/>
      </c>
      <c r="AI44" s="16" t="str">
        <f>IF(ISNA(VLOOKUP(B44,Tables!$B$296:$S$304,1,0)),"None",VLOOKUP(B44,Tables!$B$296:$S$304,1,0))</f>
        <v>Fusion</v>
      </c>
      <c r="AJ44" s="16">
        <f>VLOOKUP($AI44,Tables!$B$296:$S$304,2,0)</f>
        <v>2</v>
      </c>
      <c r="AK44" s="16">
        <f>VLOOKUP($AI44,Tables!$B$296:$S$304,3,0)</f>
        <v>2</v>
      </c>
      <c r="AL44" s="16">
        <f>VLOOKUP($AI44,Tables!$B$296:$S$304,4,0)</f>
        <v>2</v>
      </c>
      <c r="AM44" s="100">
        <f xml:space="preserve"> IF(  AND(OR(B44=$BG$29,B44=$BG$30),E44=1),  1,  VLOOKUP($AI44,Tables!$B$296:$S$304,5,0)  )</f>
        <v>2</v>
      </c>
      <c r="AN44" s="38">
        <f>MIN(D44,AM44)*E44</f>
        <v>0</v>
      </c>
      <c r="AO44" s="16">
        <f>VLOOKUP($AI44,Tables!$B$296:$S$304,6,0)</f>
        <v>12</v>
      </c>
      <c r="AP44" s="100">
        <f>IF($L44&gt;=VLOOKUP($AI44,Tables!$B$296:$S$304,7,0),1,0)</f>
        <v>0</v>
      </c>
      <c r="AQ44" s="100">
        <f>IF($L44&gt;=VLOOKUP($AI44,Tables!$B$296:$S$304,8,0),1,0)</f>
        <v>0</v>
      </c>
      <c r="AR44" s="16">
        <f>IF($AN44&gt;=VLOOKUP($AI44,Tables!$B$296:$S$304,9+AR$31,0),1,0)</f>
        <v>1</v>
      </c>
      <c r="AS44" s="16">
        <f>IF($AN44&gt;=VLOOKUP($AI44,Tables!$B$296:$S$304,9+AS$31,0),1,0)</f>
        <v>1</v>
      </c>
      <c r="AT44" s="16">
        <f>IF($AN44&gt;=VLOOKUP($AI44,Tables!$B$296:$S$304,9+AT$31,0),1,0)</f>
        <v>1</v>
      </c>
      <c r="AU44" s="16">
        <f>IF($AN44&gt;=VLOOKUP($AI44,Tables!$B$296:$S$304,9+AU$31,0),1,0)</f>
        <v>0</v>
      </c>
      <c r="AV44" s="16">
        <f>IF($AN44&gt;=VLOOKUP($AI44,Tables!$B$296:$S$304,9+AV$31,0),1,0)</f>
        <v>0</v>
      </c>
      <c r="AW44" s="16">
        <f>IF($AN44&gt;=VLOOKUP($AI44,Tables!$B$296:$S$304,9+AW$31,0),1,0)</f>
        <v>0</v>
      </c>
      <c r="AX44" s="16">
        <f>IF($AN44&gt;=VLOOKUP($AI44,Tables!$B$296:$S$304,9+AX$31,0),1,0)</f>
        <v>0</v>
      </c>
      <c r="AY44" s="16">
        <f>IF($AN44&gt;=VLOOKUP($AI44,Tables!$B$296:$S$304,9+AY$31,0),1,0)</f>
        <v>0</v>
      </c>
      <c r="AZ44" s="16">
        <f>IF($AN44&gt;=VLOOKUP($AI44,Tables!$B$296:$S$304,9+AZ$31,0),1,0)</f>
        <v>0</v>
      </c>
      <c r="BA44" s="100">
        <f t="shared" si="71"/>
        <v>0</v>
      </c>
      <c r="BD44" s="50">
        <f t="shared" si="55"/>
        <v>0</v>
      </c>
      <c r="BE44" s="50">
        <f t="shared" si="55"/>
        <v>0</v>
      </c>
      <c r="BF44" s="50">
        <f t="shared" si="55"/>
        <v>0</v>
      </c>
      <c r="BG44" s="50">
        <f t="shared" si="55"/>
        <v>0</v>
      </c>
      <c r="BH44" s="50">
        <f t="shared" si="55"/>
        <v>0</v>
      </c>
      <c r="BI44" s="50">
        <f t="shared" si="55"/>
        <v>0</v>
      </c>
      <c r="BJ44" s="50">
        <f t="shared" si="55"/>
        <v>0</v>
      </c>
      <c r="BL44" s="78">
        <f t="shared" si="56"/>
        <v>0</v>
      </c>
      <c r="BM44" s="78">
        <f t="shared" si="56"/>
        <v>0</v>
      </c>
      <c r="BN44" s="78">
        <f t="shared" si="56"/>
        <v>0</v>
      </c>
      <c r="BO44" s="78">
        <f t="shared" si="56"/>
        <v>0</v>
      </c>
      <c r="BP44" s="78">
        <f t="shared" si="56"/>
        <v>0</v>
      </c>
      <c r="BQ44" s="78">
        <f t="shared" si="56"/>
        <v>0</v>
      </c>
      <c r="BR44" s="78">
        <f t="shared" si="56"/>
        <v>0</v>
      </c>
      <c r="BS44" s="135"/>
      <c r="BT44" s="16">
        <f t="shared" si="57"/>
        <v>0</v>
      </c>
      <c r="BV44" s="110"/>
      <c r="BW44" s="50">
        <f t="shared" si="58"/>
        <v>0</v>
      </c>
      <c r="BX44" s="50">
        <f t="shared" si="59"/>
        <v>0</v>
      </c>
      <c r="BY44" s="50">
        <f t="shared" si="60"/>
        <v>0</v>
      </c>
      <c r="BZ44" s="50">
        <f t="shared" si="61"/>
        <v>0</v>
      </c>
      <c r="CA44" s="50">
        <f t="shared" si="62"/>
        <v>0</v>
      </c>
      <c r="CB44" s="50">
        <f t="shared" si="63"/>
        <v>0</v>
      </c>
      <c r="CC44" s="50">
        <f t="shared" si="64"/>
        <v>0</v>
      </c>
      <c r="CF44" s="50">
        <f t="shared" si="65"/>
        <v>0</v>
      </c>
      <c r="CG44" s="50">
        <f t="shared" si="65"/>
        <v>0</v>
      </c>
      <c r="CH44" s="50">
        <f t="shared" si="65"/>
        <v>0</v>
      </c>
      <c r="CI44" s="50">
        <f t="shared" si="65"/>
        <v>0</v>
      </c>
      <c r="CJ44" s="50">
        <f t="shared" si="65"/>
        <v>0</v>
      </c>
      <c r="CK44" s="50">
        <f t="shared" si="65"/>
        <v>0</v>
      </c>
      <c r="CL44" s="50">
        <f t="shared" si="65"/>
        <v>0</v>
      </c>
      <c r="CO44" s="115">
        <f xml:space="preserve"> IF(  LBB&gt;0,  VLOOKUP( $D44, Tables!$A$308:$D$311, 4 ) + 0.1,  0  )</f>
        <v>0</v>
      </c>
    </row>
    <row r="45" spans="1:93" ht="10" customHeight="1">
      <c r="A45" s="80">
        <f t="shared" si="73"/>
        <v>0</v>
      </c>
      <c r="B45" s="21" t="s">
        <v>318</v>
      </c>
      <c r="C45" s="35">
        <v>0</v>
      </c>
      <c r="D45" s="35">
        <f>AM45</f>
        <v>3</v>
      </c>
      <c r="E45" s="35">
        <f t="shared" ref="E45:E46" si="75">1*(C45&gt;0)</f>
        <v>0</v>
      </c>
      <c r="F45" s="36" t="str">
        <f>IF( C45&gt;0, TEXT(BA45,0), "" )</f>
        <v/>
      </c>
      <c r="G45" s="25">
        <f>C45*AJ45*E45*($BA45&gt;0)</f>
        <v>0</v>
      </c>
      <c r="H45" s="25">
        <f xml:space="preserve"> C45 * ( E45 * MIN(D45,AM45) * AK45 * ($BA45&gt;0) + CO45 )</f>
        <v>0</v>
      </c>
      <c r="I45" s="37">
        <f>C45*E45*MIN(D45,AM45)*-AL45*($BA45&gt;0)</f>
        <v>0</v>
      </c>
      <c r="J45" s="77">
        <f>-C45*E45*($BA45&gt;0)</f>
        <v>0</v>
      </c>
      <c r="K45" s="25">
        <f t="shared" si="67"/>
        <v>0</v>
      </c>
      <c r="L45" s="102">
        <f t="shared" si="20"/>
        <v>12</v>
      </c>
      <c r="S45" s="116" t="str">
        <f t="shared" si="74"/>
        <v>[tr][td]Turret[/td][td]Sand[/td][td]0[/td][td]3[/td][td]0[/td][td][/td][td][/td][td][/td][td][/td][/tr]</v>
      </c>
      <c r="T45" s="116" t="str">
        <f t="shared" si="36"/>
        <v xml:space="preserve"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                                                                 </v>
      </c>
      <c r="U45" s="116" t="str">
        <f t="shared" si="53"/>
        <v/>
      </c>
      <c r="V45" s="116" t="str">
        <f t="shared" si="69"/>
        <v>Turret-3 Sand</v>
      </c>
      <c r="W45" s="116" t="str">
        <f t="shared" si="8"/>
        <v xml:space="preserve">       </v>
      </c>
      <c r="X45" s="116" t="str">
        <f t="shared" si="70"/>
        <v>0 Turret</v>
      </c>
      <c r="Y45" s="116" t="str">
        <f t="shared" si="9"/>
        <v xml:space="preserve">       </v>
      </c>
      <c r="Z45" s="117" t="str">
        <f t="shared" si="10"/>
        <v xml:space="preserve">     </v>
      </c>
      <c r="AA45" s="117" t="str">
        <f t="shared" si="16"/>
        <v/>
      </c>
      <c r="AB45" s="117" t="str">
        <f t="shared" si="14"/>
        <v xml:space="preserve">     </v>
      </c>
      <c r="AC45" s="117" t="str">
        <f t="shared" si="17"/>
        <v/>
      </c>
      <c r="AD45" s="117" t="str">
        <f t="shared" si="12"/>
        <v xml:space="preserve">          </v>
      </c>
      <c r="AE45" s="117" t="str">
        <f t="shared" si="18"/>
        <v/>
      </c>
      <c r="AF45" s="116" t="str">
        <f t="shared" si="13"/>
        <v xml:space="preserve">          </v>
      </c>
      <c r="AG45" s="117" t="str">
        <f t="shared" si="19"/>
        <v/>
      </c>
      <c r="AH45" s="16" t="str">
        <f>""</f>
        <v/>
      </c>
      <c r="AI45" s="16" t="str">
        <f>IF(ISNA(VLOOKUP(B45,Tables!$B$296:$S$304,1,0)),"None",VLOOKUP(B45,Tables!$B$296:$S$304,1,0))</f>
        <v>Sand</v>
      </c>
      <c r="AJ45" s="16">
        <f>VLOOKUP($AI45,Tables!$B$296:$S$304,2,0)</f>
        <v>1</v>
      </c>
      <c r="AK45" s="16">
        <f>VLOOKUP($AI45,Tables!$B$296:$S$304,3,0)</f>
        <v>0.25</v>
      </c>
      <c r="AL45" s="16">
        <f>VLOOKUP($AI45,Tables!$B$296:$S$304,4,0)</f>
        <v>0</v>
      </c>
      <c r="AM45" s="100">
        <f xml:space="preserve"> IF(  AND(OR(B45=$BG$29,B45=$BG$30),E45=1),  1,  VLOOKUP($AI45,Tables!$B$296:$S$304,5,0)  )</f>
        <v>3</v>
      </c>
      <c r="AN45" s="38">
        <f>MIN(D45,AM45)*E45</f>
        <v>0</v>
      </c>
      <c r="AO45" s="16">
        <f>VLOOKUP($AI45,Tables!$B$296:$S$304,6,0)</f>
        <v>7</v>
      </c>
      <c r="AP45" s="100">
        <f>IF($L45&gt;=VLOOKUP($AI45,Tables!$B$296:$S$304,7,0),1,0)</f>
        <v>1</v>
      </c>
      <c r="AQ45" s="100">
        <f>IF($L45&gt;=VLOOKUP($AI45,Tables!$B$296:$S$304,8,0),1,0)</f>
        <v>1</v>
      </c>
      <c r="AR45" s="16">
        <f>IF($AN45&gt;=VLOOKUP($AI45,Tables!$B$296:$S$304,9+AR$31,0),1,0)</f>
        <v>0</v>
      </c>
      <c r="AS45" s="16">
        <f>IF($AN45&gt;=VLOOKUP($AI45,Tables!$B$296:$S$304,9+AS$31,0),1,0)</f>
        <v>0</v>
      </c>
      <c r="AT45" s="16">
        <f>IF($AN45&gt;=VLOOKUP($AI45,Tables!$B$296:$S$304,9+AT$31,0),1,0)</f>
        <v>0</v>
      </c>
      <c r="AU45" s="16">
        <f>IF($AN45&gt;=VLOOKUP($AI45,Tables!$B$296:$S$304,9+AU$31,0),1,0)</f>
        <v>0</v>
      </c>
      <c r="AV45" s="16">
        <f>IF($AN45&gt;=VLOOKUP($AI45,Tables!$B$296:$S$304,9+AV$31,0),1,0)</f>
        <v>0</v>
      </c>
      <c r="AW45" s="16">
        <f>IF($AN45&gt;=VLOOKUP($AI45,Tables!$B$296:$S$304,9+AW$31,0),1,0)</f>
        <v>0</v>
      </c>
      <c r="AX45" s="16">
        <f>IF($AN45&gt;=VLOOKUP($AI45,Tables!$B$296:$S$304,9+AX$31,0),1,0)</f>
        <v>0</v>
      </c>
      <c r="AY45" s="16">
        <f>IF($AN45&gt;=VLOOKUP($AI45,Tables!$B$296:$S$304,9+AY$31,0),1,0)</f>
        <v>0</v>
      </c>
      <c r="AZ45" s="16">
        <f>IF($AN45&gt;=VLOOKUP($AI45,Tables!$B$296:$S$304,9+AZ$31,0),1,0)</f>
        <v>0</v>
      </c>
      <c r="BA45" s="100">
        <f t="shared" si="71"/>
        <v>0</v>
      </c>
      <c r="BD45" s="50">
        <f t="shared" si="55"/>
        <v>0</v>
      </c>
      <c r="BE45" s="50">
        <f t="shared" si="55"/>
        <v>0</v>
      </c>
      <c r="BF45" s="50">
        <f t="shared" si="55"/>
        <v>0</v>
      </c>
      <c r="BG45" s="50">
        <f t="shared" si="55"/>
        <v>0</v>
      </c>
      <c r="BH45" s="50">
        <f t="shared" si="55"/>
        <v>0</v>
      </c>
      <c r="BI45" s="50">
        <f t="shared" si="55"/>
        <v>0</v>
      </c>
      <c r="BJ45" s="50">
        <f t="shared" si="55"/>
        <v>0</v>
      </c>
      <c r="BL45" s="78">
        <f t="shared" si="56"/>
        <v>0</v>
      </c>
      <c r="BM45" s="78">
        <f t="shared" si="56"/>
        <v>0</v>
      </c>
      <c r="BN45" s="78">
        <f t="shared" si="56"/>
        <v>0</v>
      </c>
      <c r="BO45" s="78">
        <f t="shared" si="56"/>
        <v>0</v>
      </c>
      <c r="BP45" s="78">
        <f t="shared" si="56"/>
        <v>0</v>
      </c>
      <c r="BQ45" s="78">
        <f t="shared" si="56"/>
        <v>0</v>
      </c>
      <c r="BR45" s="78">
        <f t="shared" si="56"/>
        <v>0</v>
      </c>
      <c r="BS45" s="135"/>
      <c r="BT45" s="16">
        <f t="shared" si="57"/>
        <v>0</v>
      </c>
      <c r="BV45" s="110"/>
      <c r="BW45" s="50">
        <f t="shared" si="58"/>
        <v>0</v>
      </c>
      <c r="BX45" s="50">
        <f t="shared" si="59"/>
        <v>0</v>
      </c>
      <c r="BY45" s="50">
        <f t="shared" si="60"/>
        <v>0</v>
      </c>
      <c r="BZ45" s="50">
        <f t="shared" si="61"/>
        <v>0</v>
      </c>
      <c r="CA45" s="50">
        <f t="shared" si="62"/>
        <v>0</v>
      </c>
      <c r="CB45" s="50">
        <f t="shared" si="63"/>
        <v>0</v>
      </c>
      <c r="CC45" s="50">
        <f t="shared" si="64"/>
        <v>0</v>
      </c>
      <c r="CF45" s="50">
        <f t="shared" si="65"/>
        <v>0</v>
      </c>
      <c r="CG45" s="50">
        <f t="shared" si="65"/>
        <v>0</v>
      </c>
      <c r="CH45" s="50">
        <f t="shared" si="65"/>
        <v>0</v>
      </c>
      <c r="CI45" s="50">
        <f t="shared" si="65"/>
        <v>0</v>
      </c>
      <c r="CJ45" s="50">
        <f t="shared" si="65"/>
        <v>0</v>
      </c>
      <c r="CK45" s="50">
        <f t="shared" si="65"/>
        <v>0</v>
      </c>
      <c r="CL45" s="50">
        <f t="shared" si="65"/>
        <v>0</v>
      </c>
      <c r="CO45" s="115">
        <f xml:space="preserve"> IF(  LBB&gt;0,  VLOOKUP( $D45, Tables!$A$308:$D$311, 4 ) + 0.1,  0  )</f>
        <v>0</v>
      </c>
    </row>
    <row r="46" spans="1:93" ht="10" customHeight="1">
      <c r="A46" s="81">
        <f t="shared" si="73"/>
        <v>0</v>
      </c>
      <c r="B46" s="21" t="s">
        <v>62</v>
      </c>
      <c r="C46" s="35">
        <v>0</v>
      </c>
      <c r="D46" s="35">
        <f>AM46</f>
        <v>2</v>
      </c>
      <c r="E46" s="35">
        <f t="shared" si="75"/>
        <v>0</v>
      </c>
      <c r="F46" s="36" t="str">
        <f>IF( C46&gt;0, TEXT(BA46,0), "" )</f>
        <v/>
      </c>
      <c r="G46" s="82" t="str">
        <f xml:space="preserve"> IF( C46&gt;0, "DM -2", "" )</f>
        <v/>
      </c>
      <c r="H46" s="25">
        <f>C46 * ( E46*MIN(D46,AM46)*AK46*($BA46&gt;0) + CO46 )</f>
        <v>0</v>
      </c>
      <c r="I46" s="37">
        <f>C46*E46*MIN(D46,AM46)*-AL46*($BA46&gt;0)</f>
        <v>0</v>
      </c>
      <c r="J46" s="77">
        <f>-C46*E46*($BA46&gt;0)</f>
        <v>0</v>
      </c>
      <c r="K46" s="25">
        <f xml:space="preserve"> (C46&gt;0)*(Tonnage&lt;=1000)*0</f>
        <v>0</v>
      </c>
      <c r="L46" s="102">
        <f t="shared" si="20"/>
        <v>12</v>
      </c>
      <c r="S46" s="116" t="str">
        <f xml:space="preserve"> CONCATENATE(  "[tr]",  "[td]","Fixed Mount","[/td]", "[td]",B46,"[/td]", "[td]",C46,"[/td]", "[td]",D46,"[/td]", "[td]",E46,"[/td]", "[td]",F46,"[/td]", "[td]",IF(G46&lt;&gt;0,G46,""),"[/td]", "[td]",IF(H46&lt;&gt;0,H46,""),"[/td]", "[td]",IF(I46&lt;&gt;0,I46,""),"[/td]",  "[/tr]" )</f>
        <v>[tr][td]Fixed Mount[/td][td]Missile[/td][td]0[/td][td]2[/td][td]0[/td][td][/td][td][/td][td][/td][td][/td][/tr]</v>
      </c>
      <c r="T46" s="116" t="str">
        <f t="shared" si="36"/>
        <v xml:space="preserve"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                                                                 </v>
      </c>
      <c r="U46" s="116" t="str">
        <f xml:space="preserve"> IF( IFERROR(H46,0)&gt;0, CONCATENATE(  newline &amp; V46 &amp; W46 &amp; X46 &amp; Y46 &amp; Z46 &amp; AA46 &amp; AB46 &amp; AC46 &amp; AD46 &amp; AE46 &amp; AF46 &amp; AG46 ), "" )</f>
        <v/>
      </c>
      <c r="V46" s="116" t="str">
        <f xml:space="preserve"> LEFT( CONCATENATE( "FixedM-" &amp; MIN(D46,AM46) &amp; " " &amp; B46 ), 19 )</f>
        <v>FixedM-2 Missile</v>
      </c>
      <c r="W46" s="116" t="str">
        <f t="shared" si="8"/>
        <v xml:space="preserve">    </v>
      </c>
      <c r="X46" s="116" t="str">
        <f xml:space="preserve"> CONCATENATE( E46 &amp; " Mount" &amp; IF(E46&gt;1,"s","") &amp; ", " &amp; G46 )</f>
        <v xml:space="preserve">0 Mount, </v>
      </c>
      <c r="Y46" s="116" t="str">
        <f t="shared" si="9"/>
        <v xml:space="preserve">      </v>
      </c>
      <c r="Z46" s="117" t="str">
        <f t="shared" si="10"/>
        <v xml:space="preserve">     </v>
      </c>
      <c r="AA46" s="117" t="str">
        <f t="shared" si="16"/>
        <v/>
      </c>
      <c r="AB46" s="117" t="str">
        <f t="shared" si="14"/>
        <v xml:space="preserve">     </v>
      </c>
      <c r="AC46" s="117" t="str">
        <f t="shared" si="17"/>
        <v/>
      </c>
      <c r="AD46" s="117" t="str">
        <f t="shared" si="12"/>
        <v xml:space="preserve">          </v>
      </c>
      <c r="AE46" s="117" t="str">
        <f>""</f>
        <v/>
      </c>
      <c r="AF46" s="116" t="str">
        <f t="shared" si="13"/>
        <v xml:space="preserve">          </v>
      </c>
      <c r="AG46" s="117" t="str">
        <f t="shared" si="19"/>
        <v/>
      </c>
      <c r="AH46" s="16" t="str">
        <f>""</f>
        <v/>
      </c>
      <c r="AI46" s="16" t="str">
        <f>IF(ISNA(VLOOKUP(B46,Tables!$B$296:$S$304,1,0)),"None",VLOOKUP(B46,Tables!$B$296:$S$304,1,0))</f>
        <v>Missile</v>
      </c>
      <c r="AJ46" s="16">
        <f>VLOOKUP($AI46,Tables!$B$296:$S$304,2,0)</f>
        <v>1</v>
      </c>
      <c r="AK46" s="16">
        <f>VLOOKUP($AI46,Tables!$B$296:$S$304,3,0)</f>
        <v>0.75</v>
      </c>
      <c r="AL46" s="16">
        <f>VLOOKUP($AI46,Tables!$B$296:$S$304,4,0)</f>
        <v>0</v>
      </c>
      <c r="AM46" s="98">
        <f xml:space="preserve"> IF(  AND(OR(B46=$BG$29,B46=$BG$30),E46=1),  1,  MIN( 2, VLOOKUP($AI46,Tables!$B$296:$S$304,5,0) )  )</f>
        <v>2</v>
      </c>
      <c r="AN46" s="38">
        <f>MIN(D46,AM46)*E46</f>
        <v>0</v>
      </c>
      <c r="AO46" s="16">
        <f>VLOOKUP($AI46,Tables!$B$296:$S$304,6,0)</f>
        <v>7</v>
      </c>
      <c r="AP46" s="100">
        <f>IF($L46&gt;=VLOOKUP($AI46,Tables!$B$296:$S$304,7,0),1,0)</f>
        <v>0</v>
      </c>
      <c r="AQ46" s="100">
        <f>IF($L46&gt;=VLOOKUP($AI46,Tables!$B$296:$S$304,8,0),1,0)</f>
        <v>0</v>
      </c>
      <c r="AR46" s="16">
        <f>IF($AN46&gt;=VLOOKUP($AI46,Tables!$B$296:$S$304,9+AR$31,0),1,0)</f>
        <v>0</v>
      </c>
      <c r="AS46" s="16">
        <f>IF($AN46&gt;=VLOOKUP($AI46,Tables!$B$296:$S$304,9+AS$31,0),1,0)</f>
        <v>0</v>
      </c>
      <c r="AT46" s="16">
        <f>IF($AN46&gt;=VLOOKUP($AI46,Tables!$B$296:$S$304,9+AT$31,0),1,0)</f>
        <v>0</v>
      </c>
      <c r="AU46" s="16">
        <f>IF($AN46&gt;=VLOOKUP($AI46,Tables!$B$296:$S$304,9+AU$31,0),1,0)</f>
        <v>0</v>
      </c>
      <c r="AV46" s="16">
        <f>IF($AN46&gt;=VLOOKUP($AI46,Tables!$B$296:$S$304,9+AV$31,0),1,0)</f>
        <v>0</v>
      </c>
      <c r="AW46" s="16">
        <f>IF($AN46&gt;=VLOOKUP($AI46,Tables!$B$296:$S$304,9+AW$31,0),1,0)</f>
        <v>0</v>
      </c>
      <c r="AX46" s="16">
        <f>IF($AN46&gt;=VLOOKUP($AI46,Tables!$B$296:$S$304,9+AX$31,0),1,0)</f>
        <v>0</v>
      </c>
      <c r="AY46" s="16">
        <f>IF($AN46&gt;=VLOOKUP($AI46,Tables!$B$296:$S$304,9+AY$31,0),1,0)</f>
        <v>0</v>
      </c>
      <c r="AZ46" s="16">
        <f>IF($AN46&gt;=VLOOKUP($AI46,Tables!$B$296:$S$304,9+AZ$31,0),1,0)</f>
        <v>0</v>
      </c>
      <c r="BA46" s="100">
        <f t="shared" si="71"/>
        <v>0</v>
      </c>
      <c r="BD46" s="50">
        <f t="shared" si="55"/>
        <v>0</v>
      </c>
      <c r="BE46" s="50">
        <f t="shared" si="55"/>
        <v>0</v>
      </c>
      <c r="BF46" s="50">
        <f t="shared" si="55"/>
        <v>0</v>
      </c>
      <c r="BG46" s="50">
        <f t="shared" si="55"/>
        <v>0</v>
      </c>
      <c r="BH46" s="50">
        <f t="shared" si="55"/>
        <v>0</v>
      </c>
      <c r="BI46" s="50">
        <f t="shared" si="55"/>
        <v>0</v>
      </c>
      <c r="BJ46" s="50">
        <f t="shared" si="55"/>
        <v>0</v>
      </c>
      <c r="BL46" s="78">
        <f t="shared" si="56"/>
        <v>0</v>
      </c>
      <c r="BM46" s="78">
        <f t="shared" si="56"/>
        <v>0</v>
      </c>
      <c r="BN46" s="78">
        <f t="shared" si="56"/>
        <v>0</v>
      </c>
      <c r="BO46" s="78">
        <f t="shared" si="56"/>
        <v>0</v>
      </c>
      <c r="BP46" s="78">
        <f t="shared" si="56"/>
        <v>0</v>
      </c>
      <c r="BQ46" s="78">
        <f t="shared" si="56"/>
        <v>0</v>
      </c>
      <c r="BR46" s="78">
        <f t="shared" si="56"/>
        <v>0</v>
      </c>
      <c r="BS46" s="135">
        <f xml:space="preserve"> C46*E46</f>
        <v>0</v>
      </c>
      <c r="BT46" s="16">
        <f xml:space="preserve"> MAX( BL46:BR46 ) + 1*( SUM(BS$35:BS54)&gt;$AN$25)*(C46&gt;0)</f>
        <v>0</v>
      </c>
      <c r="BV46" s="110"/>
      <c r="BW46" s="50">
        <f t="shared" si="58"/>
        <v>0</v>
      </c>
      <c r="BX46" s="50">
        <f t="shared" si="59"/>
        <v>0</v>
      </c>
      <c r="BY46" s="50">
        <f t="shared" si="60"/>
        <v>0</v>
      </c>
      <c r="BZ46" s="50">
        <f t="shared" si="61"/>
        <v>0</v>
      </c>
      <c r="CA46" s="50">
        <f t="shared" si="62"/>
        <v>0</v>
      </c>
      <c r="CB46" s="50">
        <f t="shared" si="63"/>
        <v>0</v>
      </c>
      <c r="CC46" s="50">
        <f t="shared" si="64"/>
        <v>0</v>
      </c>
      <c r="CF46" s="50">
        <f t="shared" si="65"/>
        <v>0</v>
      </c>
      <c r="CG46" s="50">
        <f t="shared" si="65"/>
        <v>0</v>
      </c>
      <c r="CH46" s="50">
        <f t="shared" si="65"/>
        <v>0</v>
      </c>
      <c r="CI46" s="50">
        <f t="shared" si="65"/>
        <v>0</v>
      </c>
      <c r="CJ46" s="50">
        <f t="shared" si="65"/>
        <v>0</v>
      </c>
      <c r="CK46" s="50">
        <f t="shared" si="65"/>
        <v>0</v>
      </c>
      <c r="CL46" s="50">
        <f t="shared" si="65"/>
        <v>0</v>
      </c>
      <c r="CO46" s="115">
        <f xml:space="preserve"> IF(  LBB&gt;0,  0.1,  0  )</f>
        <v>0</v>
      </c>
    </row>
    <row r="47" spans="1:93" ht="10" customHeight="1">
      <c r="A47" s="83">
        <f t="shared" si="73"/>
        <v>0</v>
      </c>
      <c r="B47" s="84">
        <f>MIN(AM48:AM50)-SUM(C48:C50)</f>
        <v>3</v>
      </c>
      <c r="C47" s="35">
        <v>0</v>
      </c>
      <c r="D47" s="34"/>
      <c r="E47" s="34"/>
      <c r="F47" s="36"/>
      <c r="G47" s="25">
        <f xml:space="preserve"> C47 * MAX( 1, AJ48*(C48&gt;0), AJ49*(C49&gt;0), AJ50*(C50&gt;0) )</f>
        <v>0</v>
      </c>
      <c r="H47" s="25">
        <f xml:space="preserve"> C47 * CO47</f>
        <v>0</v>
      </c>
      <c r="I47" s="37"/>
      <c r="J47" s="77">
        <f>-C47</f>
        <v>0</v>
      </c>
      <c r="K47" s="25">
        <f xml:space="preserve"> C47 * IF(  Tonnage&lt;100,  BC47,  IF( OR(Tonnage&lt;=1000,LBB&gt;0), 1, SUM( C48:C50 ) )  )</f>
        <v>0</v>
      </c>
      <c r="L47" s="102">
        <f t="shared" si="20"/>
        <v>12</v>
      </c>
      <c r="S47" s="116" t="str">
        <f xml:space="preserve"> CONCATENATE(  "[tr]",  "[td]","Mixed Turret","[/td]", "[td]",B47,"[/td]", "[td]",C47,"[/td]", "[td]",D47,"[/td]", "[td]",E47,"[/td]", "[td]",F47,"[/td]", "[td]",IF(G47&lt;&gt;0,G47,""),"[/td]", "[td]",IF(H47&lt;&gt;0,H47,""),"[/td]", "[td]",IF(I47&lt;&gt;0,I47,""),"[/td]",  "[/tr]" )</f>
        <v>[tr][td]Mixed Turret[/td][td]3[/td][td]0[/td][td][/td][td][/td][td][/td][td][/td][td][/td][td][/td][/tr]</v>
      </c>
      <c r="T47" s="116" t="str">
        <f t="shared" si="36"/>
        <v xml:space="preserve"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                                                                 </v>
      </c>
      <c r="U47" s="116" t="str">
        <f xml:space="preserve"> IF( IFERROR(C47,0)&gt;0, CONCATENATE(  newline &amp; V47 &amp; W47 &amp; X47 &amp; Y47 &amp; Z47 &amp; AA47 &amp; AB47 &amp; AC47 &amp; AD47 &amp; AE47 &amp; AF47 &amp; AG47 ), "" )</f>
        <v/>
      </c>
      <c r="V47" s="116" t="s">
        <v>146</v>
      </c>
      <c r="W47" s="116" t="str">
        <f t="shared" si="8"/>
        <v xml:space="preserve">        </v>
      </c>
      <c r="X47" s="117" t="str">
        <f xml:space="preserve"> IF( B47=0, "Full", CONCATENATE( B47 &amp; " free" ) )</f>
        <v>3 free</v>
      </c>
      <c r="Y47" s="116" t="str">
        <f t="shared" si="9"/>
        <v xml:space="preserve">         </v>
      </c>
      <c r="Z47" s="117" t="str">
        <f t="shared" si="10"/>
        <v xml:space="preserve">     </v>
      </c>
      <c r="AA47" s="117" t="str">
        <f t="shared" si="16"/>
        <v/>
      </c>
      <c r="AB47" s="117" t="str">
        <f t="shared" si="14"/>
        <v xml:space="preserve">     </v>
      </c>
      <c r="AC47" s="117" t="str">
        <f t="shared" si="17"/>
        <v/>
      </c>
      <c r="AD47" s="117" t="str">
        <f t="shared" si="12"/>
        <v xml:space="preserve">          </v>
      </c>
      <c r="AE47" s="117" t="str">
        <f t="shared" si="18"/>
        <v/>
      </c>
      <c r="AF47" s="116" t="str">
        <f t="shared" si="13"/>
        <v xml:space="preserve">          </v>
      </c>
      <c r="AG47" s="117" t="str">
        <f t="shared" si="19"/>
        <v/>
      </c>
      <c r="AH47" s="16" t="str">
        <f>""</f>
        <v/>
      </c>
      <c r="AN47" s="28" t="s">
        <v>321</v>
      </c>
      <c r="AO47" s="28" t="s">
        <v>97</v>
      </c>
      <c r="AP47" s="28" t="s">
        <v>98</v>
      </c>
      <c r="AQ47" s="28" t="s">
        <v>98</v>
      </c>
      <c r="AR47" s="28">
        <v>1</v>
      </c>
      <c r="AS47" s="28">
        <v>2</v>
      </c>
      <c r="AT47" s="28">
        <v>3</v>
      </c>
      <c r="AU47" s="28">
        <v>4</v>
      </c>
      <c r="AV47" s="28">
        <v>5</v>
      </c>
      <c r="AW47" s="28">
        <v>6</v>
      </c>
      <c r="AX47" s="28">
        <v>7</v>
      </c>
      <c r="AY47" s="28">
        <v>8</v>
      </c>
      <c r="AZ47" s="28">
        <v>9</v>
      </c>
      <c r="BA47" s="28" t="s">
        <v>99</v>
      </c>
      <c r="BB47" s="23">
        <f xml:space="preserve"> COUNTIF( BD48:BJ50, "&gt;0" )</f>
        <v>0</v>
      </c>
      <c r="BC47" s="23">
        <f xml:space="preserve"> COUNTIF( BE47:BJ47, "&gt;0" )</f>
        <v>0</v>
      </c>
      <c r="BE47" s="23">
        <f xml:space="preserve"> MAX( BE48:BE50 )</f>
        <v>0</v>
      </c>
      <c r="BF47" s="23">
        <f t="shared" ref="BF47:BJ47" si="76" xml:space="preserve"> MAX( BF48:BF50 )</f>
        <v>0</v>
      </c>
      <c r="BG47" s="23">
        <f t="shared" si="76"/>
        <v>0</v>
      </c>
      <c r="BH47" s="23">
        <f t="shared" si="76"/>
        <v>0</v>
      </c>
      <c r="BI47" s="23">
        <f t="shared" si="76"/>
        <v>0</v>
      </c>
      <c r="BJ47" s="23">
        <f t="shared" si="76"/>
        <v>0</v>
      </c>
      <c r="BL47" s="78"/>
      <c r="BM47" s="78">
        <f t="shared" si="56"/>
        <v>0</v>
      </c>
      <c r="BN47" s="78"/>
      <c r="BO47" s="78"/>
      <c r="BP47" s="78"/>
      <c r="BQ47" s="78"/>
      <c r="BR47" s="78"/>
      <c r="BS47" s="135"/>
      <c r="BT47" s="16">
        <f xml:space="preserve"> 1 * ( C47&gt;0 ) * OR( AND(Hull&gt;1000,LBB&lt;=0),  B47&lt;0 )</f>
        <v>0</v>
      </c>
      <c r="BV47" s="110"/>
      <c r="BX47" s="110">
        <f t="shared" si="59"/>
        <v>0</v>
      </c>
      <c r="CF47" s="16" t="s">
        <v>100</v>
      </c>
      <c r="CO47" s="115">
        <f xml:space="preserve"> IF(  LBB&gt;0,  VLOOKUP( MIN(AM48:AM50)-B47, Tables!$A$308:$D$311, 4 ) + 0.1,  0  )</f>
        <v>0</v>
      </c>
    </row>
    <row r="48" spans="1:93" ht="10" customHeight="1">
      <c r="A48" s="85">
        <f xml:space="preserve"> BT48</f>
        <v>0</v>
      </c>
      <c r="B48" s="21" t="s">
        <v>62</v>
      </c>
      <c r="C48" s="35">
        <f>1*(C47&gt;0)</f>
        <v>0</v>
      </c>
      <c r="D48" s="34"/>
      <c r="E48" s="34"/>
      <c r="F48" s="36" t="str">
        <f>IF( AND( C47&gt;0, C48&gt;0 ), TEXT(BA48,0), "" )</f>
        <v/>
      </c>
      <c r="G48" s="25"/>
      <c r="H48" s="25">
        <f>C48*C47*AK48*($BA48&gt;0)</f>
        <v>0</v>
      </c>
      <c r="I48" s="37">
        <f>C48*C47*-AL48*($BA48&gt;0)</f>
        <v>0</v>
      </c>
      <c r="J48" s="77"/>
      <c r="K48" s="25"/>
      <c r="L48" s="102">
        <f>L47</f>
        <v>12</v>
      </c>
      <c r="S48" s="116" t="str">
        <f>CONCATENATE(  "[tr]",  "[td]","____Weapon","[/td]", "[td]",B48,"[/td]", "[td]",C48,"[/td]", "[td]",D48,"[/td]", "[td]",E48,"[/td]", "[td]",F48,"[/td]", "[td]",IF(G48&lt;&gt;0,G48,""),"[/td]", "[td]",IF(H48&lt;&gt;0,H48,""),"[/td]", "[td]",IF(I48&lt;&gt;0,I48,""),"[/td]",  "[/tr]" )</f>
        <v>[tr][td]____Weapon[/td][td]Missile[/td][td]0[/td][td][/td][td][/td][td][/td][td][/td][td][/td][td][/td][/tr]</v>
      </c>
      <c r="T48" s="116" t="str">
        <f t="shared" si="36"/>
        <v xml:space="preserve"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                                                                 </v>
      </c>
      <c r="U48" s="116" t="str">
        <f t="shared" ref="U48:U62" si="77" xml:space="preserve"> IF( IFERROR(C48,0)&gt;0, CONCATENATE(  newline &amp; V48 &amp; W48 &amp; X48 &amp; Y48 &amp; Z48 &amp; AA48 &amp; AB48 &amp; AC48 &amp; AD48 &amp; AE48 &amp; AF48 &amp; AG48 ), "" )</f>
        <v/>
      </c>
      <c r="V48" s="116" t="s">
        <v>23</v>
      </c>
      <c r="W48" s="116" t="str">
        <f t="shared" si="8"/>
        <v xml:space="preserve">            </v>
      </c>
      <c r="X48" s="117" t="str">
        <f xml:space="preserve"> LEFT( IF( B48&lt;&gt;0, B48, "" ), 14 )</f>
        <v>Missile</v>
      </c>
      <c r="Y48" s="116" t="str">
        <f t="shared" si="9"/>
        <v xml:space="preserve">        </v>
      </c>
      <c r="Z48" s="117" t="str">
        <f t="shared" si="10"/>
        <v xml:space="preserve">     </v>
      </c>
      <c r="AA48" s="117" t="str">
        <f t="shared" si="16"/>
        <v/>
      </c>
      <c r="AB48" s="117" t="str">
        <f t="shared" si="14"/>
        <v xml:space="preserve">     </v>
      </c>
      <c r="AC48" s="117" t="str">
        <f t="shared" si="17"/>
        <v/>
      </c>
      <c r="AD48" s="117" t="str">
        <f t="shared" si="12"/>
        <v xml:space="preserve">          </v>
      </c>
      <c r="AE48" s="117" t="str">
        <f t="shared" si="18"/>
        <v/>
      </c>
      <c r="AF48" s="116" t="str">
        <f t="shared" si="13"/>
        <v xml:space="preserve">          </v>
      </c>
      <c r="AG48" s="117" t="str">
        <f t="shared" si="19"/>
        <v/>
      </c>
      <c r="AH48" s="16" t="str">
        <f>""</f>
        <v/>
      </c>
      <c r="AI48" s="16" t="str">
        <f>IF(ISNA(VLOOKUP(B48,Tables!$B$296:$S$304,1,0)),"None",VLOOKUP(B48,Tables!$B$296:$S$304,1,0))</f>
        <v>Missile</v>
      </c>
      <c r="AJ48" s="16">
        <f>VLOOKUP($AI48,Tables!$B$296:$S$304,2,0)</f>
        <v>1</v>
      </c>
      <c r="AK48" s="16">
        <f>VLOOKUP($AI48,Tables!$B$296:$S$304,3,0)</f>
        <v>0.75</v>
      </c>
      <c r="AL48" s="16">
        <f>VLOOKUP($AI48,Tables!$B$296:$S$304,4,0)</f>
        <v>0</v>
      </c>
      <c r="AM48" s="16">
        <f>VLOOKUP($AI48,Tables!$B$296:$S$304,5,0)</f>
        <v>3</v>
      </c>
      <c r="AN48" s="38">
        <f>1*(C48&gt;0)</f>
        <v>0</v>
      </c>
      <c r="AO48" s="16">
        <f>VLOOKUP($AI48,Tables!$B$296:$S$304,6,0)</f>
        <v>7</v>
      </c>
      <c r="AP48" s="100">
        <f>IF($L48&gt;=VLOOKUP($AI48,Tables!$B$296:$S$304,7,0),1,0)</f>
        <v>0</v>
      </c>
      <c r="AQ48" s="100">
        <f>IF($L48&gt;=VLOOKUP($AI48,Tables!$B$296:$S$304,8,0),1,0)</f>
        <v>0</v>
      </c>
      <c r="AR48" s="16">
        <f>IF($AN48&gt;=VLOOKUP($AI48,Tables!$B$296:$S$304,9+AR$31,0),1,0)</f>
        <v>0</v>
      </c>
      <c r="AS48" s="16">
        <f>IF($AN48&gt;=VLOOKUP($AI48,Tables!$B$296:$S$304,9+AS$31,0),1,0)</f>
        <v>0</v>
      </c>
      <c r="AT48" s="16">
        <f>IF($AN48&gt;=VLOOKUP($AI48,Tables!$B$296:$S$304,9+AT$31,0),1,0)</f>
        <v>0</v>
      </c>
      <c r="AU48" s="16">
        <f>IF($AN48&gt;=VLOOKUP($AI48,Tables!$B$296:$S$304,9+AU$31,0),1,0)</f>
        <v>0</v>
      </c>
      <c r="AV48" s="16">
        <f>IF($AN48&gt;=VLOOKUP($AI48,Tables!$B$296:$S$304,9+AV$31,0),1,0)</f>
        <v>0</v>
      </c>
      <c r="AW48" s="16">
        <f>IF($AN48&gt;=VLOOKUP($AI48,Tables!$B$296:$S$304,9+AW$31,0),1,0)</f>
        <v>0</v>
      </c>
      <c r="AX48" s="16">
        <f>IF($AN48&gt;=VLOOKUP($AI48,Tables!$B$296:$S$304,9+AX$31,0),1,0)</f>
        <v>0</v>
      </c>
      <c r="AY48" s="16">
        <f>IF($AN48&gt;=VLOOKUP($AI48,Tables!$B$296:$S$304,9+AY$31,0),1,0)</f>
        <v>0</v>
      </c>
      <c r="AZ48" s="16">
        <f>IF($AN48&gt;=VLOOKUP($AI48,Tables!$B$296:$S$304,9+AZ$31,0),1,0)</f>
        <v>0</v>
      </c>
      <c r="BA48" s="16">
        <f>SUM(AP48:AZ48)*($L48&gt;=AO48)*(AN48&gt;0)</f>
        <v>0</v>
      </c>
      <c r="BB48" s="23" t="s">
        <v>78</v>
      </c>
      <c r="BC48" s="23" t="s">
        <v>89</v>
      </c>
      <c r="BD48" s="50">
        <f t="shared" ref="BD48:BJ50" si="78">IF( OR( $B48=BD$29, $B48=BD$30),  IF( $F48&lt;&gt;"", VALUE($F48), 0),  0  )</f>
        <v>0</v>
      </c>
      <c r="BE48" s="50">
        <f t="shared" si="78"/>
        <v>0</v>
      </c>
      <c r="BF48" s="50">
        <f t="shared" si="78"/>
        <v>0</v>
      </c>
      <c r="BG48" s="50">
        <f t="shared" si="78"/>
        <v>0</v>
      </c>
      <c r="BH48" s="50">
        <f t="shared" si="78"/>
        <v>0</v>
      </c>
      <c r="BI48" s="50">
        <f t="shared" si="78"/>
        <v>0</v>
      </c>
      <c r="BJ48" s="50">
        <f t="shared" si="78"/>
        <v>0</v>
      </c>
      <c r="BL48" s="78">
        <f t="shared" ref="BL48:BR50" si="79" xml:space="preserve"> IF( AND( BD48&lt;&gt;0, MAX(BD$36:BD$56)&lt;&gt;BD48 ), 1, 0 )</f>
        <v>0</v>
      </c>
      <c r="BM48" s="78">
        <f t="shared" si="79"/>
        <v>0</v>
      </c>
      <c r="BN48" s="78">
        <f t="shared" si="79"/>
        <v>0</v>
      </c>
      <c r="BO48" s="78">
        <f t="shared" si="79"/>
        <v>0</v>
      </c>
      <c r="BP48" s="78">
        <f t="shared" si="79"/>
        <v>0</v>
      </c>
      <c r="BQ48" s="78">
        <f t="shared" si="79"/>
        <v>0</v>
      </c>
      <c r="BR48" s="78">
        <f t="shared" si="79"/>
        <v>0</v>
      </c>
      <c r="BS48" s="135"/>
      <c r="BT48" s="16">
        <f xml:space="preserve"> 1 * OR( MAX( BL48:BR48 ), BT47 )</f>
        <v>0</v>
      </c>
      <c r="BV48" s="110"/>
      <c r="BW48" s="50">
        <f t="shared" ref="BW48:BW50" si="80" xml:space="preserve"> BD48 * ($BT48=0)</f>
        <v>0</v>
      </c>
      <c r="BX48" s="50">
        <f t="shared" ref="BX48:BX50" si="81" xml:space="preserve"> BE48 * ($BT48=0)</f>
        <v>0</v>
      </c>
      <c r="BY48" s="50">
        <f t="shared" ref="BY48:BY50" si="82" xml:space="preserve"> BF48 * ($BT48=0)</f>
        <v>0</v>
      </c>
      <c r="BZ48" s="50">
        <f t="shared" ref="BZ48:BZ50" si="83" xml:space="preserve"> BG48 * ($BT48=0)</f>
        <v>0</v>
      </c>
      <c r="CA48" s="50">
        <f t="shared" ref="CA48:CA50" si="84" xml:space="preserve"> BH48 * ($BT48=0)</f>
        <v>0</v>
      </c>
      <c r="CB48" s="50">
        <f t="shared" ref="CB48:CB50" si="85" xml:space="preserve"> BI48 * ($BT48=0)</f>
        <v>0</v>
      </c>
      <c r="CC48" s="50">
        <f t="shared" ref="CC48:CC50" si="86" xml:space="preserve"> BJ48 * ($BT48=0)</f>
        <v>0</v>
      </c>
      <c r="CF48" s="50">
        <f t="shared" ref="CF48:CL48" si="87">IF( OR( $B48=CF$29, $B48=CF$30),  IF( AND($F48&lt;&gt;"",$F48&gt;0,$BT48=0), $C47*$C48, 0),  0  )</f>
        <v>0</v>
      </c>
      <c r="CG48" s="50">
        <f t="shared" si="87"/>
        <v>0</v>
      </c>
      <c r="CH48" s="50">
        <f t="shared" si="87"/>
        <v>0</v>
      </c>
      <c r="CI48" s="50">
        <f t="shared" si="87"/>
        <v>0</v>
      </c>
      <c r="CJ48" s="50">
        <f t="shared" si="87"/>
        <v>0</v>
      </c>
      <c r="CK48" s="50">
        <f t="shared" si="87"/>
        <v>0</v>
      </c>
      <c r="CL48" s="50">
        <f t="shared" si="87"/>
        <v>0</v>
      </c>
    </row>
    <row r="49" spans="1:93" ht="10" customHeight="1">
      <c r="A49" s="85">
        <f t="shared" ref="A49:A50" si="88" xml:space="preserve"> BT49</f>
        <v>0</v>
      </c>
      <c r="B49" s="21" t="s">
        <v>58</v>
      </c>
      <c r="C49" s="35">
        <f>1*(C47&gt;0)</f>
        <v>0</v>
      </c>
      <c r="D49" s="34"/>
      <c r="E49" s="34"/>
      <c r="F49" s="36" t="str">
        <f>IF( AND( C47&gt;0, C49&gt;0 ), TEXT(BA49,0), "" )</f>
        <v/>
      </c>
      <c r="G49" s="25"/>
      <c r="H49" s="25">
        <f>C49*C47*AK49*($BA49&gt;0)</f>
        <v>0</v>
      </c>
      <c r="I49" s="37">
        <f>C49*C47*-AL49*($BA49&gt;0)</f>
        <v>0</v>
      </c>
      <c r="J49" s="77"/>
      <c r="K49" s="25"/>
      <c r="L49" s="102">
        <f>L47</f>
        <v>12</v>
      </c>
      <c r="S49" s="116" t="str">
        <f t="shared" ref="S49:S50" si="89">CONCATENATE(  "[tr]",  "[td]","____Weapon","[/td]", "[td]",B49,"[/td]", "[td]",C49,"[/td]", "[td]",D49,"[/td]", "[td]",E49,"[/td]", "[td]",F49,"[/td]", "[td]",IF(G49&lt;&gt;0,G49,""),"[/td]", "[td]",IF(H49&lt;&gt;0,H49,""),"[/td]", "[td]",IF(I49&lt;&gt;0,I49,""),"[/td]",  "[/tr]" )</f>
        <v>[tr][td]____Weapon[/td][td]Pulse[/td][td]0[/td][td][/td][td][/td][td][/td][td][/td][td][/td][td][/td][/tr]</v>
      </c>
      <c r="T49" s="116" t="str">
        <f t="shared" si="36"/>
        <v xml:space="preserve"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                                                                 </v>
      </c>
      <c r="U49" s="116" t="str">
        <f t="shared" si="77"/>
        <v/>
      </c>
      <c r="V49" s="116" t="s">
        <v>23</v>
      </c>
      <c r="W49" s="116" t="str">
        <f t="shared" si="8"/>
        <v xml:space="preserve">            </v>
      </c>
      <c r="X49" s="117" t="str">
        <f t="shared" ref="X49:X53" si="90" xml:space="preserve"> LEFT( IF( B49&lt;&gt;0, B49, "" ), 14 )</f>
        <v>Pulse</v>
      </c>
      <c r="Y49" s="116" t="str">
        <f t="shared" si="9"/>
        <v xml:space="preserve">          </v>
      </c>
      <c r="Z49" s="117" t="str">
        <f t="shared" si="10"/>
        <v xml:space="preserve">     </v>
      </c>
      <c r="AA49" s="117" t="str">
        <f t="shared" si="16"/>
        <v/>
      </c>
      <c r="AB49" s="117" t="str">
        <f t="shared" si="14"/>
        <v xml:space="preserve">     </v>
      </c>
      <c r="AC49" s="117" t="str">
        <f t="shared" si="17"/>
        <v/>
      </c>
      <c r="AD49" s="117" t="str">
        <f t="shared" si="12"/>
        <v xml:space="preserve">          </v>
      </c>
      <c r="AE49" s="117" t="str">
        <f t="shared" si="18"/>
        <v/>
      </c>
      <c r="AF49" s="116" t="str">
        <f t="shared" si="13"/>
        <v xml:space="preserve">          </v>
      </c>
      <c r="AG49" s="117" t="str">
        <f t="shared" si="19"/>
        <v/>
      </c>
      <c r="AH49" s="16" t="str">
        <f>""</f>
        <v/>
      </c>
      <c r="AI49" s="16" t="str">
        <f>IF(ISNA(VLOOKUP(B49,Tables!$B$296:$S$304,1,0)),"None",VLOOKUP(B49,Tables!$B$296:$S$304,1,0))</f>
        <v>Pulse</v>
      </c>
      <c r="AJ49" s="16">
        <f>VLOOKUP($AI49,Tables!$B$296:$S$304,2,0)</f>
        <v>1</v>
      </c>
      <c r="AK49" s="16">
        <f>VLOOKUP($AI49,Tables!$B$296:$S$304,3,0)</f>
        <v>0.5</v>
      </c>
      <c r="AL49" s="16">
        <f>VLOOKUP($AI49,Tables!$B$296:$S$304,4,0)</f>
        <v>1</v>
      </c>
      <c r="AM49" s="16">
        <f>VLOOKUP($AI49,Tables!$B$296:$S$304,5,0)</f>
        <v>3</v>
      </c>
      <c r="AN49" s="38">
        <f>1*(C49&gt;0)</f>
        <v>0</v>
      </c>
      <c r="AO49" s="16">
        <f>VLOOKUP($AI49,Tables!$B$296:$S$304,6,0)</f>
        <v>7</v>
      </c>
      <c r="AP49" s="100">
        <f>IF($L49&gt;=VLOOKUP($AI49,Tables!$B$296:$S$304,7,0),1,0)</f>
        <v>0</v>
      </c>
      <c r="AQ49" s="100">
        <f>IF($L49&gt;=VLOOKUP($AI49,Tables!$B$296:$S$304,8,0),1,0)</f>
        <v>0</v>
      </c>
      <c r="AR49" s="16">
        <f>IF($AN49&gt;=VLOOKUP($AI49,Tables!$B$296:$S$304,9+AR$31,0),1,0)</f>
        <v>0</v>
      </c>
      <c r="AS49" s="16">
        <f>IF($AN49&gt;=VLOOKUP($AI49,Tables!$B$296:$S$304,9+AS$31,0),1,0)</f>
        <v>0</v>
      </c>
      <c r="AT49" s="16">
        <f>IF($AN49&gt;=VLOOKUP($AI49,Tables!$B$296:$S$304,9+AT$31,0),1,0)</f>
        <v>0</v>
      </c>
      <c r="AU49" s="16">
        <f>IF($AN49&gt;=VLOOKUP($AI49,Tables!$B$296:$S$304,9+AU$31,0),1,0)</f>
        <v>0</v>
      </c>
      <c r="AV49" s="16">
        <f>IF($AN49&gt;=VLOOKUP($AI49,Tables!$B$296:$S$304,9+AV$31,0),1,0)</f>
        <v>0</v>
      </c>
      <c r="AW49" s="16">
        <f>IF($AN49&gt;=VLOOKUP($AI49,Tables!$B$296:$S$304,9+AW$31,0),1,0)</f>
        <v>0</v>
      </c>
      <c r="AX49" s="16">
        <f>IF($AN49&gt;=VLOOKUP($AI49,Tables!$B$296:$S$304,9+AX$31,0),1,0)</f>
        <v>0</v>
      </c>
      <c r="AY49" s="16">
        <f>IF($AN49&gt;=VLOOKUP($AI49,Tables!$B$296:$S$304,9+AY$31,0),1,0)</f>
        <v>0</v>
      </c>
      <c r="AZ49" s="16">
        <f>IF($AN49&gt;=VLOOKUP($AI49,Tables!$B$296:$S$304,9+AZ$31,0),1,0)</f>
        <v>0</v>
      </c>
      <c r="BA49" s="100">
        <f t="shared" ref="BA49:BA50" si="91">SUM(AP49:AZ49)*($L49&gt;=AO49)*(AN49&gt;0)</f>
        <v>0</v>
      </c>
      <c r="BD49" s="50">
        <f t="shared" si="78"/>
        <v>0</v>
      </c>
      <c r="BE49" s="50">
        <f t="shared" si="78"/>
        <v>0</v>
      </c>
      <c r="BF49" s="50">
        <f t="shared" si="78"/>
        <v>0</v>
      </c>
      <c r="BG49" s="50">
        <f t="shared" si="78"/>
        <v>0</v>
      </c>
      <c r="BH49" s="50">
        <f t="shared" si="78"/>
        <v>0</v>
      </c>
      <c r="BI49" s="50">
        <f t="shared" si="78"/>
        <v>0</v>
      </c>
      <c r="BJ49" s="50">
        <f t="shared" si="78"/>
        <v>0</v>
      </c>
      <c r="BL49" s="78">
        <f t="shared" si="79"/>
        <v>0</v>
      </c>
      <c r="BM49" s="78">
        <f t="shared" si="79"/>
        <v>0</v>
      </c>
      <c r="BN49" s="78">
        <f t="shared" si="79"/>
        <v>0</v>
      </c>
      <c r="BO49" s="78">
        <f t="shared" si="79"/>
        <v>0</v>
      </c>
      <c r="BP49" s="78">
        <f t="shared" si="79"/>
        <v>0</v>
      </c>
      <c r="BQ49" s="78">
        <f t="shared" si="79"/>
        <v>0</v>
      </c>
      <c r="BR49" s="78">
        <f t="shared" si="79"/>
        <v>0</v>
      </c>
      <c r="BS49" s="135"/>
      <c r="BT49" s="16">
        <f xml:space="preserve"> 1 * OR( MAX( BL49:BR49 ), BT47 )</f>
        <v>0</v>
      </c>
      <c r="BV49" s="110"/>
      <c r="BW49" s="50">
        <f t="shared" si="80"/>
        <v>0</v>
      </c>
      <c r="BX49" s="50">
        <f t="shared" si="81"/>
        <v>0</v>
      </c>
      <c r="BY49" s="50">
        <f t="shared" si="82"/>
        <v>0</v>
      </c>
      <c r="BZ49" s="50">
        <f t="shared" si="83"/>
        <v>0</v>
      </c>
      <c r="CA49" s="50">
        <f t="shared" si="84"/>
        <v>0</v>
      </c>
      <c r="CB49" s="50">
        <f t="shared" si="85"/>
        <v>0</v>
      </c>
      <c r="CC49" s="50">
        <f t="shared" si="86"/>
        <v>0</v>
      </c>
      <c r="CF49" s="50">
        <f t="shared" ref="CF49:CL49" si="92">IF( OR( $B49=CF$29, $B49=CF$30),  IF( AND($F49&lt;&gt;"",$F49&gt;0,$BT49=0), $C47*$C49, 0),  0  )</f>
        <v>0</v>
      </c>
      <c r="CG49" s="50">
        <f t="shared" si="92"/>
        <v>0</v>
      </c>
      <c r="CH49" s="50">
        <f t="shared" si="92"/>
        <v>0</v>
      </c>
      <c r="CI49" s="50">
        <f t="shared" si="92"/>
        <v>0</v>
      </c>
      <c r="CJ49" s="50">
        <f t="shared" si="92"/>
        <v>0</v>
      </c>
      <c r="CK49" s="50">
        <f t="shared" si="92"/>
        <v>0</v>
      </c>
      <c r="CL49" s="50">
        <f t="shared" si="92"/>
        <v>0</v>
      </c>
    </row>
    <row r="50" spans="1:93" ht="10" customHeight="1">
      <c r="A50" s="85">
        <f t="shared" si="88"/>
        <v>0</v>
      </c>
      <c r="B50" s="21" t="s">
        <v>318</v>
      </c>
      <c r="C50" s="35">
        <f>1*(C47&gt;0)</f>
        <v>0</v>
      </c>
      <c r="D50" s="34"/>
      <c r="E50" s="34"/>
      <c r="F50" s="36" t="str">
        <f>IF( AND( C47&gt;0, C50&gt;0 ), TEXT(BA50,0), "" )</f>
        <v/>
      </c>
      <c r="G50" s="25"/>
      <c r="H50" s="25">
        <f>C50*C47*AK50*($BA50&gt;0)</f>
        <v>0</v>
      </c>
      <c r="I50" s="37">
        <f>C50*C47*-AL50*($BA50&gt;0)</f>
        <v>0</v>
      </c>
      <c r="J50" s="77"/>
      <c r="K50" s="25"/>
      <c r="L50" s="102">
        <f>L47</f>
        <v>12</v>
      </c>
      <c r="S50" s="116" t="str">
        <f t="shared" si="89"/>
        <v>[tr][td]____Weapon[/td][td]Sand[/td][td]0[/td][td][/td][td][/td][td][/td][td][/td][td][/td][td][/td][/tr]</v>
      </c>
      <c r="T50" s="116" t="str">
        <f t="shared" si="36"/>
        <v xml:space="preserve"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                                                                 </v>
      </c>
      <c r="U50" s="116" t="str">
        <f t="shared" si="77"/>
        <v/>
      </c>
      <c r="V50" s="116" t="s">
        <v>23</v>
      </c>
      <c r="W50" s="116" t="str">
        <f t="shared" si="8"/>
        <v xml:space="preserve">            </v>
      </c>
      <c r="X50" s="117" t="str">
        <f t="shared" si="90"/>
        <v>Sand</v>
      </c>
      <c r="Y50" s="116" t="str">
        <f t="shared" si="9"/>
        <v xml:space="preserve">           </v>
      </c>
      <c r="Z50" s="117" t="str">
        <f t="shared" si="10"/>
        <v xml:space="preserve">     </v>
      </c>
      <c r="AA50" s="117" t="str">
        <f t="shared" si="16"/>
        <v/>
      </c>
      <c r="AB50" s="117" t="str">
        <f t="shared" si="14"/>
        <v xml:space="preserve">     </v>
      </c>
      <c r="AC50" s="117" t="str">
        <f t="shared" si="17"/>
        <v/>
      </c>
      <c r="AD50" s="117" t="str">
        <f t="shared" si="12"/>
        <v xml:space="preserve">          </v>
      </c>
      <c r="AE50" s="117" t="str">
        <f t="shared" si="18"/>
        <v/>
      </c>
      <c r="AF50" s="116" t="str">
        <f t="shared" si="13"/>
        <v xml:space="preserve">          </v>
      </c>
      <c r="AG50" s="117" t="str">
        <f t="shared" si="19"/>
        <v/>
      </c>
      <c r="AH50" s="16" t="str">
        <f>""</f>
        <v/>
      </c>
      <c r="AI50" s="16" t="str">
        <f>IF(ISNA(VLOOKUP(B50,Tables!$B$296:$S$304,1,0)),"None",VLOOKUP(B50,Tables!$B$296:$S$304,1,0))</f>
        <v>Sand</v>
      </c>
      <c r="AJ50" s="16">
        <f>VLOOKUP($AI50,Tables!$B$296:$S$304,2,0)</f>
        <v>1</v>
      </c>
      <c r="AK50" s="16">
        <f>VLOOKUP($AI50,Tables!$B$296:$S$304,3,0)</f>
        <v>0.25</v>
      </c>
      <c r="AL50" s="16">
        <f>VLOOKUP($AI50,Tables!$B$296:$S$304,4,0)</f>
        <v>0</v>
      </c>
      <c r="AM50" s="16">
        <f>VLOOKUP($AI50,Tables!$B$296:$S$304,5,0)</f>
        <v>3</v>
      </c>
      <c r="AN50" s="38">
        <f>1*(C50&gt;0)</f>
        <v>0</v>
      </c>
      <c r="AO50" s="16">
        <f>VLOOKUP($AI50,Tables!$B$296:$S$304,6,0)</f>
        <v>7</v>
      </c>
      <c r="AP50" s="100">
        <f>IF($L50&gt;=VLOOKUP($AI50,Tables!$B$296:$S$304,7,0),1,0)</f>
        <v>1</v>
      </c>
      <c r="AQ50" s="100">
        <f>IF($L50&gt;=VLOOKUP($AI50,Tables!$B$296:$S$304,8,0),1,0)</f>
        <v>1</v>
      </c>
      <c r="AR50" s="16">
        <f>IF($AN50&gt;=VLOOKUP($AI50,Tables!$B$296:$S$304,9+AR$31,0),1,0)</f>
        <v>0</v>
      </c>
      <c r="AS50" s="16">
        <f>IF($AN50&gt;=VLOOKUP($AI50,Tables!$B$296:$S$304,9+AS$31,0),1,0)</f>
        <v>0</v>
      </c>
      <c r="AT50" s="16">
        <f>IF($AN50&gt;=VLOOKUP($AI50,Tables!$B$296:$S$304,9+AT$31,0),1,0)</f>
        <v>0</v>
      </c>
      <c r="AU50" s="16">
        <f>IF($AN50&gt;=VLOOKUP($AI50,Tables!$B$296:$S$304,9+AU$31,0),1,0)</f>
        <v>0</v>
      </c>
      <c r="AV50" s="16">
        <f>IF($AN50&gt;=VLOOKUP($AI50,Tables!$B$296:$S$304,9+AV$31,0),1,0)</f>
        <v>0</v>
      </c>
      <c r="AW50" s="16">
        <f>IF($AN50&gt;=VLOOKUP($AI50,Tables!$B$296:$S$304,9+AW$31,0),1,0)</f>
        <v>0</v>
      </c>
      <c r="AX50" s="16">
        <f>IF($AN50&gt;=VLOOKUP($AI50,Tables!$B$296:$S$304,9+AX$31,0),1,0)</f>
        <v>0</v>
      </c>
      <c r="AY50" s="16">
        <f>IF($AN50&gt;=VLOOKUP($AI50,Tables!$B$296:$S$304,9+AY$31,0),1,0)</f>
        <v>0</v>
      </c>
      <c r="AZ50" s="16">
        <f>IF($AN50&gt;=VLOOKUP($AI50,Tables!$B$296:$S$304,9+AZ$31,0),1,0)</f>
        <v>0</v>
      </c>
      <c r="BA50" s="100">
        <f t="shared" si="91"/>
        <v>0</v>
      </c>
      <c r="BD50" s="50">
        <f t="shared" si="78"/>
        <v>0</v>
      </c>
      <c r="BE50" s="50">
        <f t="shared" si="78"/>
        <v>0</v>
      </c>
      <c r="BF50" s="50">
        <f t="shared" si="78"/>
        <v>0</v>
      </c>
      <c r="BG50" s="50">
        <f t="shared" si="78"/>
        <v>0</v>
      </c>
      <c r="BH50" s="50">
        <f t="shared" si="78"/>
        <v>0</v>
      </c>
      <c r="BI50" s="50">
        <f t="shared" si="78"/>
        <v>0</v>
      </c>
      <c r="BJ50" s="50">
        <f t="shared" si="78"/>
        <v>0</v>
      </c>
      <c r="BL50" s="78">
        <f t="shared" si="79"/>
        <v>0</v>
      </c>
      <c r="BM50" s="78">
        <f t="shared" si="79"/>
        <v>0</v>
      </c>
      <c r="BN50" s="78">
        <f t="shared" si="79"/>
        <v>0</v>
      </c>
      <c r="BO50" s="78">
        <f t="shared" si="79"/>
        <v>0</v>
      </c>
      <c r="BP50" s="78">
        <f t="shared" si="79"/>
        <v>0</v>
      </c>
      <c r="BQ50" s="78">
        <f t="shared" si="79"/>
        <v>0</v>
      </c>
      <c r="BR50" s="78">
        <f t="shared" si="79"/>
        <v>0</v>
      </c>
      <c r="BS50" s="135"/>
      <c r="BT50" s="16">
        <f xml:space="preserve"> 1 * OR( MAX( BL50:BR50 ), BT47 )</f>
        <v>0</v>
      </c>
      <c r="BV50" s="110"/>
      <c r="BW50" s="50">
        <f t="shared" si="80"/>
        <v>0</v>
      </c>
      <c r="BX50" s="50">
        <f t="shared" si="81"/>
        <v>0</v>
      </c>
      <c r="BY50" s="50">
        <f t="shared" si="82"/>
        <v>0</v>
      </c>
      <c r="BZ50" s="50">
        <f t="shared" si="83"/>
        <v>0</v>
      </c>
      <c r="CA50" s="50">
        <f t="shared" si="84"/>
        <v>0</v>
      </c>
      <c r="CB50" s="50">
        <f t="shared" si="85"/>
        <v>0</v>
      </c>
      <c r="CC50" s="50">
        <f t="shared" si="86"/>
        <v>0</v>
      </c>
      <c r="CF50" s="50">
        <f t="shared" ref="CF50:CL50" si="93">IF( OR( $B50=CF$29, $B50=CF$30),  IF( AND($F50&lt;&gt;"",$F50&gt;0,$BT50=0), $C47*$C50, 0),  0  )</f>
        <v>0</v>
      </c>
      <c r="CG50" s="50">
        <f t="shared" si="93"/>
        <v>0</v>
      </c>
      <c r="CH50" s="50">
        <f t="shared" si="93"/>
        <v>0</v>
      </c>
      <c r="CI50" s="50">
        <f t="shared" si="93"/>
        <v>0</v>
      </c>
      <c r="CJ50" s="50">
        <f t="shared" si="93"/>
        <v>0</v>
      </c>
      <c r="CK50" s="50">
        <f t="shared" si="93"/>
        <v>0</v>
      </c>
      <c r="CL50" s="50">
        <f t="shared" si="93"/>
        <v>0</v>
      </c>
    </row>
    <row r="51" spans="1:93" ht="10" customHeight="1">
      <c r="A51" s="81">
        <f t="shared" ref="A51" si="94" xml:space="preserve"> BT51</f>
        <v>0</v>
      </c>
      <c r="B51" s="84">
        <f>MIN(2,AM52:AM53)-SUM(C52:C53)</f>
        <v>2</v>
      </c>
      <c r="C51" s="35">
        <v>0</v>
      </c>
      <c r="D51" s="82" t="s">
        <v>154</v>
      </c>
      <c r="E51" s="34"/>
      <c r="F51" s="36"/>
      <c r="G51" s="25"/>
      <c r="H51" s="25">
        <f xml:space="preserve"> C51 * CO51</f>
        <v>0</v>
      </c>
      <c r="I51" s="37"/>
      <c r="J51" s="77">
        <f>-C51</f>
        <v>0</v>
      </c>
      <c r="K51" s="25">
        <f xml:space="preserve"> (C51&gt;0)*(Tonnage&lt;=1000)*0</f>
        <v>0</v>
      </c>
      <c r="L51" s="102">
        <f t="shared" si="20"/>
        <v>12</v>
      </c>
      <c r="S51" s="116" t="str">
        <f>CONCATENATE(  "[tr]",  "[td]","Fixed Mount","[/td]", "[td]",B51,"[/td]", "[td]",C51,"[/td]", "[td]",D51,"[/td]", "[td]",E51,"[/td]", "[td]",F51,"[/td]", "[td]",IF(G51&lt;&gt;0,G51,""),"[/td]", "[td]",IF(H51&lt;&gt;0,H51,""),"[/td]", "[td]",IF(I51&lt;&gt;0,I51,""),"[/td]",  "[/tr]" )</f>
        <v>[tr][td]Fixed Mount[/td][td]2[/td][td]0[/td][td]DM -2[/td][td][/td][td][/td][td][/td][td][/td][td][/td][/tr]</v>
      </c>
      <c r="T51" s="116" t="str">
        <f t="shared" si="36"/>
        <v xml:space="preserve"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                                                                 </v>
      </c>
      <c r="U51" s="116" t="str">
        <f t="shared" si="77"/>
        <v/>
      </c>
      <c r="V51" s="116" t="s">
        <v>404</v>
      </c>
      <c r="W51" s="116" t="str">
        <f t="shared" si="8"/>
        <v xml:space="preserve">         </v>
      </c>
      <c r="X51" s="117" t="str">
        <f xml:space="preserve"> CONCATENATE( IF( B51=0, "Full", CONCATENATE( B51 &amp; " free" ) ) &amp; ", " &amp; D51 )</f>
        <v>2 free, DM -2</v>
      </c>
      <c r="Y51" s="116" t="str">
        <f t="shared" si="9"/>
        <v xml:space="preserve">  </v>
      </c>
      <c r="Z51" s="117" t="str">
        <f t="shared" si="10"/>
        <v xml:space="preserve">     </v>
      </c>
      <c r="AA51" s="117" t="str">
        <f t="shared" si="16"/>
        <v/>
      </c>
      <c r="AB51" s="117" t="str">
        <f t="shared" si="14"/>
        <v xml:space="preserve">     </v>
      </c>
      <c r="AC51" s="117" t="str">
        <f t="shared" si="17"/>
        <v/>
      </c>
      <c r="AD51" s="117" t="str">
        <f t="shared" si="12"/>
        <v xml:space="preserve">          </v>
      </c>
      <c r="AE51" s="117" t="str">
        <f t="shared" si="18"/>
        <v/>
      </c>
      <c r="AF51" s="116" t="str">
        <f t="shared" si="13"/>
        <v xml:space="preserve">          </v>
      </c>
      <c r="AG51" s="117" t="str">
        <f t="shared" si="19"/>
        <v/>
      </c>
      <c r="AH51" s="16" t="str">
        <f>""</f>
        <v/>
      </c>
      <c r="AN51" s="28" t="s">
        <v>352</v>
      </c>
      <c r="AO51" s="28" t="s">
        <v>353</v>
      </c>
      <c r="AP51" s="28" t="s">
        <v>257</v>
      </c>
      <c r="AQ51" s="28" t="s">
        <v>257</v>
      </c>
      <c r="AR51" s="28">
        <v>1</v>
      </c>
      <c r="AS51" s="28">
        <v>2</v>
      </c>
      <c r="AT51" s="28">
        <v>3</v>
      </c>
      <c r="AU51" s="28">
        <v>4</v>
      </c>
      <c r="AV51" s="28">
        <v>5</v>
      </c>
      <c r="AW51" s="28">
        <v>6</v>
      </c>
      <c r="AX51" s="28">
        <v>7</v>
      </c>
      <c r="AY51" s="28">
        <v>8</v>
      </c>
      <c r="AZ51" s="28">
        <v>9</v>
      </c>
      <c r="BA51" s="28" t="s">
        <v>137</v>
      </c>
      <c r="BL51" s="78"/>
      <c r="BM51" s="78"/>
      <c r="BN51" s="78"/>
      <c r="BO51" s="78"/>
      <c r="BP51" s="78"/>
      <c r="BQ51" s="78"/>
      <c r="BR51" s="78"/>
      <c r="BS51" s="135">
        <f xml:space="preserve"> C51</f>
        <v>0</v>
      </c>
      <c r="BT51" s="16">
        <f xml:space="preserve"> 1 * (C51&gt;0) * OR( SUM(BS$35:BS54)&gt;$AN$25, B51&lt;0 )</f>
        <v>0</v>
      </c>
      <c r="BV51" s="110"/>
      <c r="CF51" s="16" t="s">
        <v>216</v>
      </c>
      <c r="CO51" s="115">
        <f xml:space="preserve"> IF(  LBB&gt;0,  0.1,  0  )</f>
        <v>0</v>
      </c>
    </row>
    <row r="52" spans="1:93" ht="10" customHeight="1">
      <c r="A52" s="85">
        <f xml:space="preserve"> BT52</f>
        <v>0</v>
      </c>
      <c r="B52" s="21" t="s">
        <v>62</v>
      </c>
      <c r="C52" s="35">
        <f>1*(C51&gt;0)</f>
        <v>0</v>
      </c>
      <c r="D52" s="34"/>
      <c r="E52" s="34"/>
      <c r="F52" s="36" t="str">
        <f>IF( AND( C51&gt;0, C52&gt;0 ), TEXT(BA52,0), "" )</f>
        <v/>
      </c>
      <c r="G52" s="25"/>
      <c r="H52" s="25">
        <f>C52*C51*AK52*($BA52&gt;0)</f>
        <v>0</v>
      </c>
      <c r="I52" s="37">
        <f>C52*C51*-AL52*($BA52&gt;0)</f>
        <v>0</v>
      </c>
      <c r="J52" s="77"/>
      <c r="K52" s="25">
        <f>(C52&gt;0)*(C51+1*(C51&gt;0))*($BA52&gt;0)*(Tonnage&gt;1000)*0</f>
        <v>0</v>
      </c>
      <c r="L52" s="102">
        <f>L51</f>
        <v>12</v>
      </c>
      <c r="S52" s="116" t="str">
        <f t="shared" ref="S52:S53" si="95">CONCATENATE(  "[tr]",  "[td]","____Weapon","[/td]", "[td]",B52,"[/td]", "[td]",C52,"[/td]", "[td]",D52,"[/td]", "[td]",E52,"[/td]", "[td]",F52,"[/td]", "[td]",IF(G52&lt;&gt;0,G52,""),"[/td]", "[td]",IF(H52&lt;&gt;0,H52,""),"[/td]", "[td]",IF(I52&lt;&gt;0,I52,""),"[/td]",  "[/tr]" )</f>
        <v>[tr][td]____Weapon[/td][td]Missile[/td][td]0[/td][td][/td][td][/td][td][/td][td][/td][td][/td][td][/td][/tr]</v>
      </c>
      <c r="T52" s="116" t="str">
        <f t="shared" si="36"/>
        <v xml:space="preserve"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                                                                 </v>
      </c>
      <c r="U52" s="116" t="str">
        <f t="shared" si="77"/>
        <v/>
      </c>
      <c r="V52" s="116" t="s">
        <v>23</v>
      </c>
      <c r="W52" s="116" t="str">
        <f t="shared" si="8"/>
        <v xml:space="preserve">            </v>
      </c>
      <c r="X52" s="117" t="str">
        <f t="shared" si="90"/>
        <v>Missile</v>
      </c>
      <c r="Y52" s="116" t="str">
        <f t="shared" si="9"/>
        <v xml:space="preserve">        </v>
      </c>
      <c r="Z52" s="117" t="str">
        <f t="shared" si="10"/>
        <v xml:space="preserve">     </v>
      </c>
      <c r="AA52" s="117" t="str">
        <f t="shared" si="16"/>
        <v/>
      </c>
      <c r="AB52" s="117" t="str">
        <f t="shared" si="14"/>
        <v xml:space="preserve">     </v>
      </c>
      <c r="AC52" s="117" t="str">
        <f t="shared" si="17"/>
        <v/>
      </c>
      <c r="AD52" s="117" t="str">
        <f t="shared" si="12"/>
        <v xml:space="preserve">          </v>
      </c>
      <c r="AE52" s="117" t="str">
        <f t="shared" si="18"/>
        <v/>
      </c>
      <c r="AF52" s="116" t="str">
        <f t="shared" si="13"/>
        <v xml:space="preserve">          </v>
      </c>
      <c r="AG52" s="117" t="str">
        <f t="shared" si="19"/>
        <v/>
      </c>
      <c r="AH52" s="16" t="str">
        <f>""</f>
        <v/>
      </c>
      <c r="AI52" s="16" t="str">
        <f>IF(ISNA(VLOOKUP(B52,Tables!$B$296:$S$304,1,0)),"None",VLOOKUP(B52,Tables!$B$296:$S$304,1,0))</f>
        <v>Missile</v>
      </c>
      <c r="AJ52" s="16">
        <f>VLOOKUP($AI52,Tables!$B$296:$S$304,2,0)</f>
        <v>1</v>
      </c>
      <c r="AK52" s="16">
        <f>VLOOKUP($AI52,Tables!$B$296:$S$304,3,0)</f>
        <v>0.75</v>
      </c>
      <c r="AL52" s="16">
        <f>VLOOKUP($AI52,Tables!$B$296:$S$304,4,0)</f>
        <v>0</v>
      </c>
      <c r="AM52" s="16">
        <f>VLOOKUP($AI52,Tables!$B$296:$S$304,5,0)</f>
        <v>3</v>
      </c>
      <c r="AN52" s="38">
        <f>C52</f>
        <v>0</v>
      </c>
      <c r="AO52" s="16">
        <f>VLOOKUP($AI52,Tables!$B$296:$S$304,6,0)</f>
        <v>7</v>
      </c>
      <c r="AP52" s="100">
        <f>IF($L52&gt;=VLOOKUP($AI52,Tables!$B$296:$S$304,7,0),1,0)</f>
        <v>0</v>
      </c>
      <c r="AQ52" s="100">
        <f>IF($L52&gt;=VLOOKUP($AI52,Tables!$B$296:$S$304,8,0),1,0)</f>
        <v>0</v>
      </c>
      <c r="AR52" s="16">
        <f>IF($AN52&gt;=VLOOKUP($AI52,Tables!$B$296:$S$304,9+AR$31,0),1,0)</f>
        <v>0</v>
      </c>
      <c r="AS52" s="16">
        <f>IF($AN52&gt;=VLOOKUP($AI52,Tables!$B$296:$S$304,9+AS$31,0),1,0)</f>
        <v>0</v>
      </c>
      <c r="AT52" s="16">
        <f>IF($AN52&gt;=VLOOKUP($AI52,Tables!$B$296:$S$304,9+AT$31,0),1,0)</f>
        <v>0</v>
      </c>
      <c r="AU52" s="16">
        <f>IF($AN52&gt;=VLOOKUP($AI52,Tables!$B$296:$S$304,9+AU$31,0),1,0)</f>
        <v>0</v>
      </c>
      <c r="AV52" s="16">
        <f>IF($AN52&gt;=VLOOKUP($AI52,Tables!$B$296:$S$304,9+AV$31,0),1,0)</f>
        <v>0</v>
      </c>
      <c r="AW52" s="16">
        <f>IF($AN52&gt;=VLOOKUP($AI52,Tables!$B$296:$S$304,9+AW$31,0),1,0)</f>
        <v>0</v>
      </c>
      <c r="AX52" s="16">
        <f>IF($AN52&gt;=VLOOKUP($AI52,Tables!$B$296:$S$304,9+AX$31,0),1,0)</f>
        <v>0</v>
      </c>
      <c r="AY52" s="16">
        <f>IF($AN52&gt;=VLOOKUP($AI52,Tables!$B$296:$S$304,9+AY$31,0),1,0)</f>
        <v>0</v>
      </c>
      <c r="AZ52" s="16">
        <f>IF($AN52&gt;=VLOOKUP($AI52,Tables!$B$296:$S$304,9+AZ$31,0),1,0)</f>
        <v>0</v>
      </c>
      <c r="BA52" s="16">
        <f>SUM(AP52:AZ52)*($L52&gt;=AO52)*(AN52&gt;0)</f>
        <v>0</v>
      </c>
      <c r="BD52" s="50">
        <f t="shared" ref="BD52:BJ53" si="96">IF( OR( $B52=BD$29, $B52=BD$30),  IF( $F52&gt;0, $BA52, 0),  0  )</f>
        <v>0</v>
      </c>
      <c r="BE52" s="50">
        <f t="shared" si="96"/>
        <v>0</v>
      </c>
      <c r="BF52" s="50">
        <f t="shared" si="96"/>
        <v>0</v>
      </c>
      <c r="BG52" s="50">
        <f t="shared" si="96"/>
        <v>0</v>
      </c>
      <c r="BH52" s="50">
        <f t="shared" si="96"/>
        <v>0</v>
      </c>
      <c r="BI52" s="50">
        <f t="shared" si="96"/>
        <v>0</v>
      </c>
      <c r="BJ52" s="50">
        <f t="shared" si="96"/>
        <v>0</v>
      </c>
      <c r="BL52" s="78">
        <f t="shared" ref="BL52:BR53" si="97" xml:space="preserve"> IF( AND( BD52&lt;&gt;0, MAX(BD$36:BD$56)&lt;&gt;BD52 ), 1, 0 )</f>
        <v>0</v>
      </c>
      <c r="BM52" s="78">
        <f t="shared" si="97"/>
        <v>0</v>
      </c>
      <c r="BN52" s="78">
        <f t="shared" si="97"/>
        <v>0</v>
      </c>
      <c r="BO52" s="78">
        <f t="shared" si="97"/>
        <v>0</v>
      </c>
      <c r="BP52" s="78">
        <f t="shared" si="97"/>
        <v>0</v>
      </c>
      <c r="BQ52" s="78">
        <f t="shared" si="97"/>
        <v>0</v>
      </c>
      <c r="BR52" s="78">
        <f t="shared" si="97"/>
        <v>0</v>
      </c>
      <c r="BS52" s="135"/>
      <c r="BT52" s="16">
        <f xml:space="preserve"> 1 * OR( MAX( BL52:BR52 ), BT51 )</f>
        <v>0</v>
      </c>
      <c r="BV52" s="110"/>
      <c r="BW52" s="50">
        <f t="shared" ref="BW52:BW53" si="98" xml:space="preserve"> BD52 * ($BT52=0)</f>
        <v>0</v>
      </c>
      <c r="BX52" s="50">
        <f t="shared" ref="BX52:BX53" si="99" xml:space="preserve"> BE52 * ($BT52=0)</f>
        <v>0</v>
      </c>
      <c r="BY52" s="50">
        <f t="shared" ref="BY52:BY53" si="100" xml:space="preserve"> BF52 * ($BT52=0)</f>
        <v>0</v>
      </c>
      <c r="BZ52" s="50">
        <f t="shared" ref="BZ52:BZ53" si="101" xml:space="preserve"> BG52 * ($BT52=0)</f>
        <v>0</v>
      </c>
      <c r="CA52" s="50">
        <f t="shared" ref="CA52:CA53" si="102" xml:space="preserve"> BH52 * ($BT52=0)</f>
        <v>0</v>
      </c>
      <c r="CB52" s="50">
        <f t="shared" ref="CB52:CB53" si="103" xml:space="preserve"> BI52 * ($BT52=0)</f>
        <v>0</v>
      </c>
      <c r="CC52" s="50">
        <f t="shared" ref="CC52:CC53" si="104" xml:space="preserve"> BJ52 * ($BT52=0)</f>
        <v>0</v>
      </c>
      <c r="CF52" s="50">
        <f t="shared" ref="CF52:CL52" si="105">IF( OR( $B52=CF$29, $B52=CF$30),  IF( AND($F52&lt;&gt;"",$F52&gt;0,$BT52=0), $C51*$C52, 0),  0  )</f>
        <v>0</v>
      </c>
      <c r="CG52" s="50">
        <f t="shared" si="105"/>
        <v>0</v>
      </c>
      <c r="CH52" s="50">
        <f t="shared" si="105"/>
        <v>0</v>
      </c>
      <c r="CI52" s="50">
        <f t="shared" si="105"/>
        <v>0</v>
      </c>
      <c r="CJ52" s="50">
        <f t="shared" si="105"/>
        <v>0</v>
      </c>
      <c r="CK52" s="50">
        <f t="shared" si="105"/>
        <v>0</v>
      </c>
      <c r="CL52" s="50">
        <f t="shared" si="105"/>
        <v>0</v>
      </c>
    </row>
    <row r="53" spans="1:93" ht="10" customHeight="1">
      <c r="A53" s="85">
        <f t="shared" ref="A53" si="106" xml:space="preserve"> BT53</f>
        <v>0</v>
      </c>
      <c r="B53" s="21" t="s">
        <v>318</v>
      </c>
      <c r="C53" s="35">
        <f>1*(C51&gt;0)</f>
        <v>0</v>
      </c>
      <c r="D53" s="34"/>
      <c r="E53" s="34"/>
      <c r="F53" s="36" t="str">
        <f>IF( AND( C51&gt;0, C53&gt;0 ), TEXT(BA53,0), "" )</f>
        <v/>
      </c>
      <c r="G53" s="25"/>
      <c r="H53" s="25">
        <f>C53*C51*AK53*($BA53&gt;0)</f>
        <v>0</v>
      </c>
      <c r="I53" s="37">
        <f>C53*C51*-AL53*($BA53&gt;0)</f>
        <v>0</v>
      </c>
      <c r="J53" s="77"/>
      <c r="K53" s="25">
        <f>(C53&gt;0)*(C51+1*(C51&gt;0))*($BA53&gt;0)*(Tonnage&gt;1000)*0</f>
        <v>0</v>
      </c>
      <c r="L53" s="102">
        <f>L51</f>
        <v>12</v>
      </c>
      <c r="S53" s="116" t="str">
        <f t="shared" si="95"/>
        <v>[tr][td]____Weapon[/td][td]Sand[/td][td]0[/td][td][/td][td][/td][td][/td][td][/td][td][/td][td][/td][/tr]</v>
      </c>
      <c r="T53" s="116" t="str">
        <f t="shared" si="36"/>
        <v xml:space="preserve"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                                                                 </v>
      </c>
      <c r="U53" s="116" t="str">
        <f t="shared" si="77"/>
        <v/>
      </c>
      <c r="V53" s="116" t="s">
        <v>23</v>
      </c>
      <c r="W53" s="116" t="str">
        <f t="shared" si="8"/>
        <v xml:space="preserve">            </v>
      </c>
      <c r="X53" s="117" t="str">
        <f t="shared" si="90"/>
        <v>Sand</v>
      </c>
      <c r="Y53" s="116" t="str">
        <f t="shared" si="9"/>
        <v xml:space="preserve">           </v>
      </c>
      <c r="Z53" s="117" t="str">
        <f t="shared" si="10"/>
        <v xml:space="preserve">     </v>
      </c>
      <c r="AA53" s="117" t="str">
        <f t="shared" si="16"/>
        <v/>
      </c>
      <c r="AB53" s="117" t="str">
        <f t="shared" si="14"/>
        <v xml:space="preserve">     </v>
      </c>
      <c r="AC53" s="117" t="str">
        <f t="shared" si="17"/>
        <v/>
      </c>
      <c r="AD53" s="117" t="str">
        <f t="shared" si="12"/>
        <v xml:space="preserve">          </v>
      </c>
      <c r="AE53" s="117" t="str">
        <f t="shared" si="18"/>
        <v/>
      </c>
      <c r="AF53" s="116" t="str">
        <f t="shared" si="13"/>
        <v xml:space="preserve">          </v>
      </c>
      <c r="AG53" s="117" t="str">
        <f t="shared" si="19"/>
        <v/>
      </c>
      <c r="AH53" s="16" t="str">
        <f>""</f>
        <v/>
      </c>
      <c r="AI53" s="16" t="str">
        <f>IF(ISNA(VLOOKUP(B53,Tables!$B$296:$S$304,1,0)),"None",VLOOKUP(B53,Tables!$B$296:$S$304,1,0))</f>
        <v>Sand</v>
      </c>
      <c r="AJ53" s="16">
        <f>VLOOKUP($AI53,Tables!$B$296:$S$304,2,0)</f>
        <v>1</v>
      </c>
      <c r="AK53" s="16">
        <f>VLOOKUP($AI53,Tables!$B$296:$S$304,3,0)</f>
        <v>0.25</v>
      </c>
      <c r="AL53" s="16">
        <f>VLOOKUP($AI53,Tables!$B$296:$S$304,4,0)</f>
        <v>0</v>
      </c>
      <c r="AM53" s="16">
        <f>VLOOKUP($AI53,Tables!$B$296:$S$304,5,0)</f>
        <v>3</v>
      </c>
      <c r="AN53" s="38">
        <f>C53</f>
        <v>0</v>
      </c>
      <c r="AO53" s="16">
        <f>VLOOKUP($AI53,Tables!$B$296:$S$304,6,0)</f>
        <v>7</v>
      </c>
      <c r="AP53" s="100">
        <f>IF($L53&gt;=VLOOKUP($AI53,Tables!$B$296:$S$304,7,0),1,0)</f>
        <v>1</v>
      </c>
      <c r="AQ53" s="100">
        <f>IF($L53&gt;=VLOOKUP($AI53,Tables!$B$296:$S$304,8,0),1,0)</f>
        <v>1</v>
      </c>
      <c r="AR53" s="16">
        <f>IF($AN53&gt;=VLOOKUP($AI53,Tables!$B$296:$S$304,9+AR$31,0),1,0)</f>
        <v>0</v>
      </c>
      <c r="AS53" s="16">
        <f>IF($AN53&gt;=VLOOKUP($AI53,Tables!$B$296:$S$304,9+AS$31,0),1,0)</f>
        <v>0</v>
      </c>
      <c r="AT53" s="16">
        <f>IF($AN53&gt;=VLOOKUP($AI53,Tables!$B$296:$S$304,9+AT$31,0),1,0)</f>
        <v>0</v>
      </c>
      <c r="AU53" s="16">
        <f>IF($AN53&gt;=VLOOKUP($AI53,Tables!$B$296:$S$304,9+AU$31,0),1,0)</f>
        <v>0</v>
      </c>
      <c r="AV53" s="16">
        <f>IF($AN53&gt;=VLOOKUP($AI53,Tables!$B$296:$S$304,9+AV$31,0),1,0)</f>
        <v>0</v>
      </c>
      <c r="AW53" s="16">
        <f>IF($AN53&gt;=VLOOKUP($AI53,Tables!$B$296:$S$304,9+AW$31,0),1,0)</f>
        <v>0</v>
      </c>
      <c r="AX53" s="16">
        <f>IF($AN53&gt;=VLOOKUP($AI53,Tables!$B$296:$S$304,9+AX$31,0),1,0)</f>
        <v>0</v>
      </c>
      <c r="AY53" s="16">
        <f>IF($AN53&gt;=VLOOKUP($AI53,Tables!$B$296:$S$304,9+AY$31,0),1,0)</f>
        <v>0</v>
      </c>
      <c r="AZ53" s="16">
        <f>IF($AN53&gt;=VLOOKUP($AI53,Tables!$B$296:$S$304,9+AZ$31,0),1,0)</f>
        <v>0</v>
      </c>
      <c r="BA53" s="100">
        <f>SUM(AP53:AZ53)*($L53&gt;=AO53)*(AN53&gt;0)</f>
        <v>0</v>
      </c>
      <c r="BD53" s="50">
        <f t="shared" si="96"/>
        <v>0</v>
      </c>
      <c r="BE53" s="50">
        <f t="shared" si="96"/>
        <v>0</v>
      </c>
      <c r="BF53" s="50">
        <f t="shared" si="96"/>
        <v>0</v>
      </c>
      <c r="BG53" s="50">
        <f t="shared" si="96"/>
        <v>0</v>
      </c>
      <c r="BH53" s="50">
        <f t="shared" si="96"/>
        <v>0</v>
      </c>
      <c r="BI53" s="50">
        <f t="shared" si="96"/>
        <v>0</v>
      </c>
      <c r="BJ53" s="50">
        <f t="shared" si="96"/>
        <v>0</v>
      </c>
      <c r="BL53" s="78">
        <f t="shared" si="97"/>
        <v>0</v>
      </c>
      <c r="BM53" s="78">
        <f t="shared" si="97"/>
        <v>0</v>
      </c>
      <c r="BN53" s="78">
        <f t="shared" si="97"/>
        <v>0</v>
      </c>
      <c r="BO53" s="78">
        <f t="shared" si="97"/>
        <v>0</v>
      </c>
      <c r="BP53" s="78">
        <f t="shared" si="97"/>
        <v>0</v>
      </c>
      <c r="BQ53" s="78">
        <f t="shared" si="97"/>
        <v>0</v>
      </c>
      <c r="BR53" s="78">
        <f t="shared" si="97"/>
        <v>0</v>
      </c>
      <c r="BS53" s="135"/>
      <c r="BT53" s="16">
        <f xml:space="preserve"> 1*OR( MAX( BL53:BR53 ), BT51 )</f>
        <v>0</v>
      </c>
      <c r="BV53" s="110"/>
      <c r="BW53" s="50">
        <f t="shared" si="98"/>
        <v>0</v>
      </c>
      <c r="BX53" s="50">
        <f t="shared" si="99"/>
        <v>0</v>
      </c>
      <c r="BY53" s="50">
        <f t="shared" si="100"/>
        <v>0</v>
      </c>
      <c r="BZ53" s="50">
        <f t="shared" si="101"/>
        <v>0</v>
      </c>
      <c r="CA53" s="50">
        <f t="shared" si="102"/>
        <v>0</v>
      </c>
      <c r="CB53" s="50">
        <f t="shared" si="103"/>
        <v>0</v>
      </c>
      <c r="CC53" s="50">
        <f t="shared" si="104"/>
        <v>0</v>
      </c>
      <c r="CF53" s="50">
        <f t="shared" ref="CF53:CL53" si="107">IF( OR( $B53=CF$29, $B53=CF$30),  IF( AND($F53&lt;&gt;"",$F53&gt;0,$BT53=0), $C51*$C53, 0),  0  )</f>
        <v>0</v>
      </c>
      <c r="CG53" s="50">
        <f t="shared" si="107"/>
        <v>0</v>
      </c>
      <c r="CH53" s="50">
        <f t="shared" si="107"/>
        <v>0</v>
      </c>
      <c r="CI53" s="50">
        <f t="shared" si="107"/>
        <v>0</v>
      </c>
      <c r="CJ53" s="50">
        <f t="shared" si="107"/>
        <v>0</v>
      </c>
      <c r="CK53" s="50">
        <f t="shared" si="107"/>
        <v>0</v>
      </c>
      <c r="CL53" s="50">
        <f t="shared" si="107"/>
        <v>0</v>
      </c>
    </row>
    <row r="54" spans="1:93" ht="10" customHeight="1">
      <c r="A54" s="23" t="s">
        <v>427</v>
      </c>
      <c r="C54" s="35">
        <f>AI54</f>
        <v>1</v>
      </c>
      <c r="D54" s="130">
        <v>0</v>
      </c>
      <c r="E54" s="34"/>
      <c r="F54" s="36"/>
      <c r="G54" s="25">
        <f xml:space="preserve"> MAX( 0, ROUNDDOWN(C54,0)*(D54&gt;=0) )</f>
        <v>1</v>
      </c>
      <c r="H54" s="25">
        <f xml:space="preserve"> C54 * CO54</f>
        <v>0</v>
      </c>
      <c r="I54" s="37"/>
      <c r="J54" s="77">
        <f xml:space="preserve"> -C54</f>
        <v>-1</v>
      </c>
      <c r="K54" s="25"/>
      <c r="L54" s="102"/>
      <c r="S54" s="116" t="str">
        <f xml:space="preserve"> CONCATENATE(  "[tr]",  "[td]",A54,"[/td]", "[td]",B54,"[/td]", "[td]",C54,"[/td]", "[td]",D54,"[/td]", "[td]",E54,"[/td]", "[td]",F54,"[/td]", "[td]",IF(G54&lt;&gt;0,G54,""),"[/td]", "[td]",IF(H54&lt;&gt;0,H54,""),"[/td]", "[td]",IF(I54&lt;&gt;0,I54,""),"[/td]",  "[/tr]" )</f>
        <v>[tr][td]Empty hardpoint[/td][td][/td][td]1[/td][td]0[/td][td][/td][td][/td][td]1[/td][td][/td][td][/td][/tr]</v>
      </c>
      <c r="T54" s="116" t="str">
        <f t="shared" si="36"/>
        <v xml:space="preserve"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Empty hardpoint                             1         1          </v>
      </c>
      <c r="U54" s="116" t="str">
        <f t="shared" si="77"/>
        <v xml:space="preserve">
Empty hardpoint                             1         1          </v>
      </c>
      <c r="V54" s="116" t="str">
        <f t="shared" si="7"/>
        <v>Empty hardpoint</v>
      </c>
      <c r="W54" s="116" t="str">
        <f t="shared" si="8"/>
        <v xml:space="preserve">     </v>
      </c>
      <c r="X54" s="117" t="str">
        <f t="shared" si="22"/>
        <v/>
      </c>
      <c r="Y54" s="116" t="str">
        <f t="shared" si="9"/>
        <v xml:space="preserve">               </v>
      </c>
      <c r="Z54" s="117" t="str">
        <f t="shared" si="10"/>
        <v xml:space="preserve">     </v>
      </c>
      <c r="AA54" s="117" t="str">
        <f t="shared" si="16"/>
        <v/>
      </c>
      <c r="AB54" s="117" t="str">
        <f t="shared" si="14"/>
        <v xml:space="preserve">    </v>
      </c>
      <c r="AC54" s="117">
        <f t="shared" si="17"/>
        <v>1</v>
      </c>
      <c r="AD54" s="117" t="str">
        <f t="shared" si="12"/>
        <v xml:space="preserve">         </v>
      </c>
      <c r="AE54" s="117">
        <f t="shared" si="18"/>
        <v>1</v>
      </c>
      <c r="AF54" s="116" t="str">
        <f t="shared" si="13"/>
        <v xml:space="preserve">          </v>
      </c>
      <c r="AG54" s="117" t="str">
        <f t="shared" si="19"/>
        <v/>
      </c>
      <c r="AH54" s="16" t="str">
        <f>""</f>
        <v/>
      </c>
      <c r="AI54" s="16">
        <f>IF( Tonnage&lt;100, 0, IF(AK54=0,MAX(1,ROUNDDOWN((Hardpoints+AK54)/(1+1*(Military&lt;=0)),0)),0) )</f>
        <v>1</v>
      </c>
      <c r="AK54" s="16">
        <f>AL54+AM54</f>
        <v>0</v>
      </c>
      <c r="AL54" s="20">
        <f xml:space="preserve"> IF( ISERROR(SUM( J35:J53 )), 0, SUM( J35:J53 ) )</f>
        <v>0</v>
      </c>
      <c r="AM54" s="20">
        <f xml:space="preserve"> IF( ISERROR(SUM( J55:J59 )), 0, SUM( J55:J59 ) )</f>
        <v>0</v>
      </c>
      <c r="AN54" s="38"/>
      <c r="CO54" s="115">
        <f xml:space="preserve"> IF(  LBB&gt;0,  VLOOKUP( $D54, Tables!$A$308:$D$311, 4 ) + 0.1,  0  )</f>
        <v>0</v>
      </c>
    </row>
    <row r="55" spans="1:93" ht="10" customHeight="1">
      <c r="A55" s="23"/>
      <c r="C55" s="34"/>
      <c r="D55" s="34"/>
      <c r="E55" s="34"/>
      <c r="F55" s="36"/>
      <c r="G55" s="25"/>
      <c r="H55" s="25"/>
      <c r="I55" s="37"/>
      <c r="J55" s="77"/>
      <c r="K55" s="25"/>
      <c r="L55" s="102"/>
      <c r="S55" s="116" t="str">
        <f t="shared" ref="S55:S67" si="108" xml:space="preserve"> CONCATENATE(  "[tr]",  "[td]",A55,"[/td]", "[td]",B55,"[/td]", "[td]",C55,"[/td]", "[td]",D55,"[/td]", "[td]",E55,"[/td]", "[td]",F55,"[/td]", "[td]",IF(G55&lt;&gt;0,G55,""),"[/td]", "[td]",IF(H55&lt;&gt;0,H55,""),"[/td]", "[td]",IF(I55&lt;&gt;0,I55,""),"[/td]",  "[/tr]" )</f>
        <v>[tr][td][/td][td][/td][td][/td][td][/td][td][/td][td][/td][td][/td][td][/td][td][/td][/tr]</v>
      </c>
      <c r="T55" s="116" t="str">
        <f t="shared" si="36"/>
        <v xml:space="preserve"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Empty hardpoint                             1         1          </v>
      </c>
      <c r="U55" s="116" t="str">
        <f xml:space="preserve"> IF( IFERROR(SUM(C55:C59),0)&gt;0, CONCATENATE(  newline &amp; V55 &amp; W55 &amp; X55 &amp; Y55 &amp; Z55 &amp; AA55 &amp; AB55 &amp; AC55 &amp; AD55 &amp; AE55 &amp; AF55 &amp; AG55 ), "" )</f>
        <v/>
      </c>
      <c r="V55" s="116" t="str">
        <f t="shared" si="7"/>
        <v/>
      </c>
      <c r="W55" s="116" t="str">
        <f t="shared" si="8"/>
        <v xml:space="preserve">                    </v>
      </c>
      <c r="X55" s="117" t="str">
        <f t="shared" si="22"/>
        <v/>
      </c>
      <c r="Y55" s="116" t="str">
        <f t="shared" si="9"/>
        <v xml:space="preserve">               </v>
      </c>
      <c r="Z55" s="117" t="str">
        <f t="shared" si="10"/>
        <v xml:space="preserve">     </v>
      </c>
      <c r="AA55" s="117" t="str">
        <f t="shared" si="16"/>
        <v/>
      </c>
      <c r="AB55" s="117" t="str">
        <f t="shared" si="14"/>
        <v xml:space="preserve">     </v>
      </c>
      <c r="AC55" s="117" t="str">
        <f t="shared" si="17"/>
        <v/>
      </c>
      <c r="AD55" s="117" t="str">
        <f t="shared" si="12"/>
        <v xml:space="preserve">          </v>
      </c>
      <c r="AE55" s="117" t="str">
        <f t="shared" si="18"/>
        <v/>
      </c>
      <c r="AF55" s="116" t="str">
        <f t="shared" si="13"/>
        <v xml:space="preserve">          </v>
      </c>
      <c r="AG55" s="117" t="str">
        <f t="shared" si="19"/>
        <v/>
      </c>
      <c r="AH55" s="16" t="str">
        <f>""</f>
        <v/>
      </c>
      <c r="AN55" s="38"/>
    </row>
    <row r="56" spans="1:93" ht="10" customHeight="1">
      <c r="A56" s="23" t="s">
        <v>241</v>
      </c>
      <c r="C56" s="35">
        <v>0</v>
      </c>
      <c r="D56" s="35">
        <f>AI56</f>
        <v>1</v>
      </c>
      <c r="E56" s="34"/>
      <c r="F56" s="36">
        <f>MIN(D56,AI56)*(C56&gt;0)</f>
        <v>0</v>
      </c>
      <c r="G56" s="25">
        <f>C56*AJ56</f>
        <v>0</v>
      </c>
      <c r="H56" s="25">
        <f>C56*AK56</f>
        <v>0</v>
      </c>
      <c r="I56" s="37">
        <f>(C56&gt;0)*-AL56</f>
        <v>0</v>
      </c>
      <c r="J56" s="20"/>
      <c r="K56" s="25">
        <f>4*(C56&gt;0)*(F56&gt;0)</f>
        <v>0</v>
      </c>
      <c r="L56" s="102">
        <f t="shared" si="20"/>
        <v>12</v>
      </c>
      <c r="S56" s="116" t="str">
        <f t="shared" si="108"/>
        <v>[tr][td]Nuclear Damper[/td][td][/td][td]0[/td][td]1[/td][td][/td][td]0[/td][td][/td][td][/td][td][/td][/tr]</v>
      </c>
      <c r="T56" s="116" t="str">
        <f t="shared" si="36"/>
        <v xml:space="preserve"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Empty hardpoint                             1         1          </v>
      </c>
      <c r="U56" s="116" t="str">
        <f t="shared" si="77"/>
        <v/>
      </c>
      <c r="V56" s="116" t="str">
        <f t="shared" si="7"/>
        <v>Nuclear Damper</v>
      </c>
      <c r="W56" s="116" t="str">
        <f t="shared" si="8"/>
        <v xml:space="preserve">      </v>
      </c>
      <c r="X56" s="117" t="str">
        <f t="shared" si="22"/>
        <v/>
      </c>
      <c r="Y56" s="116" t="str">
        <f t="shared" si="9"/>
        <v xml:space="preserve">               </v>
      </c>
      <c r="Z56" s="117" t="str">
        <f t="shared" si="10"/>
        <v xml:space="preserve">     </v>
      </c>
      <c r="AA56" s="117" t="str">
        <f t="shared" si="16"/>
        <v/>
      </c>
      <c r="AB56" s="117" t="str">
        <f t="shared" si="14"/>
        <v xml:space="preserve">     </v>
      </c>
      <c r="AC56" s="117" t="str">
        <f t="shared" si="17"/>
        <v/>
      </c>
      <c r="AD56" s="117" t="str">
        <f t="shared" si="12"/>
        <v xml:space="preserve">          </v>
      </c>
      <c r="AE56" s="117" t="str">
        <f t="shared" si="18"/>
        <v/>
      </c>
      <c r="AF56" s="116" t="str">
        <f t="shared" si="13"/>
        <v xml:space="preserve">          </v>
      </c>
      <c r="AG56" s="117" t="str">
        <f t="shared" si="19"/>
        <v/>
      </c>
      <c r="AH56" s="16" t="str">
        <f>""</f>
        <v/>
      </c>
      <c r="AI56" s="16">
        <f>VLOOKUP($L56,Tables!A226:E235,2)</f>
        <v>1</v>
      </c>
      <c r="AJ56" s="16">
        <f>VLOOKUP($F56,Tables!$B$226:$E$235,2)</f>
        <v>0</v>
      </c>
      <c r="AK56" s="16">
        <f>VLOOKUP($F56,Tables!$B$226:$E$235,3)</f>
        <v>0</v>
      </c>
      <c r="AL56" s="16">
        <f>VLOOKUP($F56,Tables!$B$226:$E$235,4)</f>
        <v>0</v>
      </c>
    </row>
    <row r="57" spans="1:93" ht="10" customHeight="1">
      <c r="A57" s="23" t="s">
        <v>231</v>
      </c>
      <c r="C57" s="35">
        <v>0</v>
      </c>
      <c r="D57" s="35">
        <f>AI57</f>
        <v>1</v>
      </c>
      <c r="E57" s="34"/>
      <c r="F57" s="36">
        <f>MIN(D57,AI57)*(C57&gt;0)</f>
        <v>0</v>
      </c>
      <c r="G57" s="25">
        <f>C57*AJ57</f>
        <v>0</v>
      </c>
      <c r="H57" s="25">
        <f>C57*AK57</f>
        <v>0</v>
      </c>
      <c r="I57" s="37">
        <f>(C57&gt;0)*-AL57*Tonnage/100</f>
        <v>0</v>
      </c>
      <c r="J57" s="20"/>
      <c r="K57" s="25">
        <f>4*(C57&gt;0)*(F57&gt;0)</f>
        <v>0</v>
      </c>
      <c r="L57" s="102">
        <f t="shared" si="20"/>
        <v>12</v>
      </c>
      <c r="S57" s="116" t="str">
        <f t="shared" si="108"/>
        <v>[tr][td]Meson Screen[/td][td][/td][td]0[/td][td]1[/td][td][/td][td]0[/td][td][/td][td][/td][td][/td][/tr]</v>
      </c>
      <c r="T57" s="116" t="str">
        <f t="shared" si="36"/>
        <v xml:space="preserve"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Empty hardpoint                             1         1          </v>
      </c>
      <c r="U57" s="116" t="str">
        <f t="shared" si="77"/>
        <v/>
      </c>
      <c r="V57" s="116" t="str">
        <f t="shared" si="7"/>
        <v>Meson Screen</v>
      </c>
      <c r="W57" s="116" t="str">
        <f t="shared" si="8"/>
        <v xml:space="preserve">        </v>
      </c>
      <c r="X57" s="117" t="str">
        <f t="shared" si="22"/>
        <v/>
      </c>
      <c r="Y57" s="116" t="str">
        <f t="shared" si="9"/>
        <v xml:space="preserve">               </v>
      </c>
      <c r="Z57" s="117" t="str">
        <f t="shared" si="10"/>
        <v xml:space="preserve">     </v>
      </c>
      <c r="AA57" s="117" t="str">
        <f t="shared" si="16"/>
        <v/>
      </c>
      <c r="AB57" s="117" t="str">
        <f t="shared" si="14"/>
        <v xml:space="preserve">     </v>
      </c>
      <c r="AC57" s="117" t="str">
        <f t="shared" si="17"/>
        <v/>
      </c>
      <c r="AD57" s="117" t="str">
        <f t="shared" si="12"/>
        <v xml:space="preserve">          </v>
      </c>
      <c r="AE57" s="117" t="str">
        <f t="shared" si="18"/>
        <v/>
      </c>
      <c r="AF57" s="116" t="str">
        <f t="shared" si="13"/>
        <v xml:space="preserve">          </v>
      </c>
      <c r="AG57" s="117" t="str">
        <f t="shared" si="19"/>
        <v/>
      </c>
      <c r="AH57" s="16" t="str">
        <f>""</f>
        <v/>
      </c>
      <c r="AI57" s="16">
        <f>VLOOKUP($L57,Tables!G226:K235,2)</f>
        <v>1</v>
      </c>
      <c r="AJ57" s="16">
        <f>VLOOKUP($F57,Tables!$H$226:$K$235,2)</f>
        <v>0</v>
      </c>
      <c r="AK57" s="16">
        <f>VLOOKUP($F57,Tables!$H$226:$K$235,3)</f>
        <v>0</v>
      </c>
      <c r="AL57" s="16">
        <f>VLOOKUP($F57,Tables!$H$226:$K$235,4)</f>
        <v>0</v>
      </c>
    </row>
    <row r="58" spans="1:93" ht="10" customHeight="1">
      <c r="A58" s="23" t="s">
        <v>396</v>
      </c>
      <c r="C58" s="35">
        <v>0</v>
      </c>
      <c r="D58" s="35">
        <f>AI58</f>
        <v>0</v>
      </c>
      <c r="E58" s="34"/>
      <c r="F58" s="36">
        <f>MIN(D58,AI58)*(C58&gt;0)</f>
        <v>0</v>
      </c>
      <c r="G58" s="25">
        <f>C58*AJ58</f>
        <v>0</v>
      </c>
      <c r="H58" s="25">
        <f>C58*AK58</f>
        <v>0</v>
      </c>
      <c r="I58" s="37"/>
      <c r="J58" s="20"/>
      <c r="K58" s="25">
        <f>4*(C58&gt;0)*(F58&gt;0)</f>
        <v>0</v>
      </c>
      <c r="L58" s="102">
        <f t="shared" si="20"/>
        <v>12</v>
      </c>
      <c r="S58" s="116" t="str">
        <f t="shared" si="108"/>
        <v>[tr][td]Black Globe[/td][td][/td][td]0[/td][td]0[/td][td][/td][td]0[/td][td][/td][td][/td][td][/td][/tr]</v>
      </c>
      <c r="T58" s="116" t="str">
        <f t="shared" si="36"/>
        <v xml:space="preserve"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Empty hardpoint                             1         1          </v>
      </c>
      <c r="U58" s="116" t="str">
        <f t="shared" si="77"/>
        <v/>
      </c>
      <c r="V58" s="116" t="str">
        <f t="shared" si="7"/>
        <v>Black Globe</v>
      </c>
      <c r="W58" s="116" t="str">
        <f t="shared" si="8"/>
        <v xml:space="preserve">         </v>
      </c>
      <c r="X58" s="117" t="str">
        <f t="shared" si="22"/>
        <v/>
      </c>
      <c r="Y58" s="116" t="str">
        <f t="shared" si="9"/>
        <v xml:space="preserve">               </v>
      </c>
      <c r="Z58" s="117" t="str">
        <f t="shared" si="10"/>
        <v xml:space="preserve">     </v>
      </c>
      <c r="AA58" s="117" t="str">
        <f t="shared" si="16"/>
        <v/>
      </c>
      <c r="AB58" s="117" t="str">
        <f t="shared" si="14"/>
        <v xml:space="preserve">     </v>
      </c>
      <c r="AC58" s="117" t="str">
        <f t="shared" si="17"/>
        <v/>
      </c>
      <c r="AD58" s="117" t="str">
        <f t="shared" si="12"/>
        <v xml:space="preserve">          </v>
      </c>
      <c r="AE58" s="117" t="str">
        <f t="shared" si="18"/>
        <v/>
      </c>
      <c r="AF58" s="116" t="str">
        <f t="shared" si="13"/>
        <v xml:space="preserve">          </v>
      </c>
      <c r="AG58" s="117" t="str">
        <f t="shared" si="19"/>
        <v/>
      </c>
      <c r="AH58" s="16" t="str">
        <f>""</f>
        <v/>
      </c>
      <c r="AI58" s="16">
        <f>VLOOKUP($L58,Tables!M226:P235,2)</f>
        <v>0</v>
      </c>
      <c r="AJ58" s="16">
        <f>VLOOKUP($F58,Tables!$N$226:$P$235,2)</f>
        <v>0</v>
      </c>
      <c r="AK58" s="16">
        <f>VLOOKUP($F58,Tables!$N$226:$P$235,3)</f>
        <v>0</v>
      </c>
    </row>
    <row r="59" spans="1:93" ht="10" customHeight="1">
      <c r="A59" s="23"/>
      <c r="B59" s="23" t="s">
        <v>169</v>
      </c>
      <c r="C59" s="73" t="s">
        <v>49</v>
      </c>
      <c r="D59" s="73" t="s">
        <v>403</v>
      </c>
      <c r="E59" s="73" t="s">
        <v>162</v>
      </c>
      <c r="F59" s="36"/>
      <c r="G59" s="25"/>
      <c r="H59" s="25"/>
      <c r="I59" s="37"/>
      <c r="J59" s="20"/>
      <c r="K59" s="25"/>
      <c r="L59" s="103"/>
      <c r="S59" s="116" t="str">
        <f t="shared" si="108"/>
        <v>[tr][td][/td][td]Type[/td][td]#[/td][td]Size[/td][td]Cost[/td][td][/td][td][/td][td][/td][td][/td][/tr]</v>
      </c>
      <c r="T59" s="116" t="str">
        <f t="shared" si="36"/>
        <v xml:space="preserve"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Empty hardpoint                             1         1          </v>
      </c>
      <c r="U59" s="116" t="str">
        <f xml:space="preserve"> IF( IFERROR(SUM(C59:C62),0)&gt;0, CONCATENATE(  newline &amp; V59 &amp; W59 &amp; X59 &amp; Y59 &amp; Z59 &amp; AA59 &amp; AB59 &amp; AC59 &amp; AD59 &amp; AE59 &amp; AF59 &amp; AG59 ), "" )</f>
        <v/>
      </c>
      <c r="V59" s="116" t="str">
        <f t="shared" si="7"/>
        <v/>
      </c>
      <c r="W59" s="116" t="str">
        <f t="shared" si="8"/>
        <v xml:space="preserve">                    </v>
      </c>
      <c r="X59" s="117"/>
      <c r="Y59" s="116" t="str">
        <f t="shared" si="9"/>
        <v xml:space="preserve">               </v>
      </c>
      <c r="Z59" s="117" t="str">
        <f t="shared" si="10"/>
        <v xml:space="preserve">     </v>
      </c>
      <c r="AA59" s="117" t="str">
        <f t="shared" si="16"/>
        <v/>
      </c>
      <c r="AB59" s="117" t="str">
        <f t="shared" si="14"/>
        <v xml:space="preserve">     </v>
      </c>
      <c r="AD59" s="117" t="str">
        <f t="shared" si="12"/>
        <v xml:space="preserve">          </v>
      </c>
      <c r="AE59" s="117" t="str">
        <f t="shared" si="18"/>
        <v/>
      </c>
      <c r="AF59" s="116" t="str">
        <f t="shared" si="13"/>
        <v xml:space="preserve">          </v>
      </c>
      <c r="AG59" s="117" t="str">
        <f t="shared" si="19"/>
        <v/>
      </c>
      <c r="AH59" s="16" t="str">
        <f>""</f>
        <v/>
      </c>
    </row>
    <row r="60" spans="1:93" ht="10" customHeight="1">
      <c r="A60" s="23" t="s">
        <v>243</v>
      </c>
      <c r="B60" s="21" t="s">
        <v>298</v>
      </c>
      <c r="C60" s="35">
        <f t="shared" ref="C60:C62" si="109">1*(D60&gt;0)</f>
        <v>0</v>
      </c>
      <c r="D60" s="72">
        <f>AL60</f>
        <v>0</v>
      </c>
      <c r="E60" s="87">
        <f>AM60</f>
        <v>0</v>
      </c>
      <c r="F60" s="36"/>
      <c r="G60" s="25">
        <f>C60*D60*(1+30%*(Tonnage&gt;1000)*(LBB&lt;=0)*(Con&lt;&gt;7)*(D60&lt;100)+10%*(LBB&gt;=0)*(Con&lt;&gt;7)*(D60&gt;=100))</f>
        <v>0</v>
      </c>
      <c r="H60" s="25">
        <f>G60*0.002*(LBB&lt;=0) + AI60</f>
        <v>0</v>
      </c>
      <c r="I60" s="37"/>
      <c r="J60" s="20"/>
      <c r="K60" s="25">
        <f>C60*(1+1*(Tonnage&gt;1000))</f>
        <v>0</v>
      </c>
      <c r="L60" s="102"/>
      <c r="S60" s="116" t="str">
        <f t="shared" si="108"/>
        <v>[tr][td]Carried Craft[/td][td][/td][td]0[/td][td]0[/td][td]0[/td][td][/td][td][/td][td][/td][td][/td][/tr]</v>
      </c>
      <c r="T60" s="116" t="str">
        <f t="shared" si="36"/>
        <v xml:space="preserve"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Empty hardpoint                             1         1          </v>
      </c>
      <c r="U60" s="116" t="str">
        <f t="shared" si="77"/>
        <v/>
      </c>
      <c r="V60" s="116" t="str">
        <f xml:space="preserve"> IF( B60&lt;&gt;"", B60, "Carried Craft" )</f>
        <v>Carried Craft</v>
      </c>
      <c r="W60" s="116" t="str">
        <f t="shared" si="8"/>
        <v xml:space="preserve">       </v>
      </c>
      <c r="X60" s="117" t="str">
        <f xml:space="preserve"> CONCATENATE( D60 &amp; " Dton" )</f>
        <v>0 Dton</v>
      </c>
      <c r="Y60" s="116" t="str">
        <f t="shared" si="9"/>
        <v xml:space="preserve">         </v>
      </c>
      <c r="Z60" s="117" t="str">
        <f t="shared" si="10"/>
        <v xml:space="preserve">     </v>
      </c>
      <c r="AA60" s="117" t="str">
        <f t="shared" si="16"/>
        <v/>
      </c>
      <c r="AB60" s="117" t="str">
        <f t="shared" si="14"/>
        <v xml:space="preserve">     </v>
      </c>
      <c r="AC60" s="117" t="str">
        <f t="shared" si="17"/>
        <v/>
      </c>
      <c r="AD60" s="117" t="str">
        <f t="shared" si="12"/>
        <v xml:space="preserve">          </v>
      </c>
      <c r="AE60" s="117" t="str">
        <f t="shared" si="18"/>
        <v/>
      </c>
      <c r="AF60" s="116" t="str">
        <f t="shared" si="13"/>
        <v xml:space="preserve">          </v>
      </c>
      <c r="AG60" s="117" t="str">
        <f t="shared" si="19"/>
        <v/>
      </c>
      <c r="AH60" s="16" t="str">
        <f>""</f>
        <v/>
      </c>
      <c r="AI60" s="16">
        <f>C60*E60</f>
        <v>0</v>
      </c>
      <c r="AK60" s="38" t="str">
        <f xml:space="preserve"> VLOOKUP( $B60, Tables!$A$324:$F$336, 1, 0 )</f>
        <v/>
      </c>
      <c r="AL60" s="38">
        <f xml:space="preserve"> VLOOKUP( $B60, Tables!$A$324:$F$336, 2, 0 )</f>
        <v>0</v>
      </c>
      <c r="AM60" s="38">
        <f xml:space="preserve"> VLOOKUP( $B60, Tables!$A$324:$F$336, 3, 0 )</f>
        <v>0</v>
      </c>
      <c r="AN60" s="38">
        <f xml:space="preserve"> VLOOKUP( $B60, Tables!$A$324:$F$336, 4, 0 )</f>
        <v>0</v>
      </c>
      <c r="AO60" s="38">
        <f xml:space="preserve"> VLOOKUP( $B60, Tables!$A$324:$F$336, 5, 0 )</f>
        <v>0</v>
      </c>
      <c r="AP60" s="38">
        <f xml:space="preserve"> VLOOKUP( $B60, Tables!$A$324:$F$336, 6, 0 )</f>
        <v>0</v>
      </c>
    </row>
    <row r="61" spans="1:93" ht="10" customHeight="1">
      <c r="A61" s="23"/>
      <c r="B61" s="21" t="s">
        <v>298</v>
      </c>
      <c r="C61" s="35">
        <f t="shared" si="109"/>
        <v>0</v>
      </c>
      <c r="D61" s="72">
        <f t="shared" ref="D61:D62" si="110">AL61</f>
        <v>0</v>
      </c>
      <c r="E61" s="87">
        <f t="shared" ref="E61" si="111">AM61</f>
        <v>0</v>
      </c>
      <c r="F61" s="36"/>
      <c r="G61" s="25">
        <f>C61*D61*(1+30%*(Tonnage&gt;1000)*(LBB&lt;=0)*(Con&lt;&gt;7)*(D61&lt;100)+10%*(LBB&gt;=0)*(Con&lt;&gt;7)*(D61&gt;=100))</f>
        <v>0</v>
      </c>
      <c r="H61" s="25">
        <f>G61*0.002*(LBB&lt;=0) + AI61</f>
        <v>0</v>
      </c>
      <c r="I61" s="37"/>
      <c r="J61" s="20"/>
      <c r="K61" s="25">
        <f>C61*(1+1*(Tonnage&gt;1000))</f>
        <v>0</v>
      </c>
      <c r="L61" s="102"/>
      <c r="S61" s="116" t="str">
        <f t="shared" si="108"/>
        <v>[tr][td][/td][td][/td][td]0[/td][td]0[/td][td]0[/td][td][/td][td][/td][td][/td][td][/td][/tr]</v>
      </c>
      <c r="T61" s="116" t="str">
        <f t="shared" si="36"/>
        <v xml:space="preserve"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Empty hardpoint                             1         1          </v>
      </c>
      <c r="U61" s="116" t="str">
        <f t="shared" si="77"/>
        <v/>
      </c>
      <c r="V61" s="116" t="str">
        <f xml:space="preserve"> IF( B61&lt;&gt;"", B61, "Carried Craft" )</f>
        <v>Carried Craft</v>
      </c>
      <c r="W61" s="116" t="str">
        <f t="shared" si="8"/>
        <v xml:space="preserve">       </v>
      </c>
      <c r="X61" s="117" t="str">
        <f xml:space="preserve"> CONCATENATE( D61 &amp; " Dton" )</f>
        <v>0 Dton</v>
      </c>
      <c r="Y61" s="116" t="str">
        <f t="shared" si="9"/>
        <v xml:space="preserve">         </v>
      </c>
      <c r="Z61" s="117" t="str">
        <f t="shared" si="10"/>
        <v xml:space="preserve">     </v>
      </c>
      <c r="AA61" s="117" t="str">
        <f t="shared" si="16"/>
        <v/>
      </c>
      <c r="AB61" s="117" t="str">
        <f t="shared" si="14"/>
        <v xml:space="preserve">     </v>
      </c>
      <c r="AC61" s="117" t="str">
        <f t="shared" si="17"/>
        <v/>
      </c>
      <c r="AD61" s="117" t="str">
        <f t="shared" si="12"/>
        <v xml:space="preserve">          </v>
      </c>
      <c r="AE61" s="117" t="str">
        <f t="shared" si="18"/>
        <v/>
      </c>
      <c r="AF61" s="116" t="str">
        <f t="shared" si="13"/>
        <v xml:space="preserve">          </v>
      </c>
      <c r="AG61" s="117" t="str">
        <f t="shared" si="19"/>
        <v/>
      </c>
      <c r="AH61" s="16" t="str">
        <f>""</f>
        <v/>
      </c>
      <c r="AI61" s="16">
        <f>C61*E61</f>
        <v>0</v>
      </c>
      <c r="AK61" s="38" t="str">
        <f xml:space="preserve"> VLOOKUP( $B61, Tables!$A$324:$F$336, 1, 0 )</f>
        <v/>
      </c>
      <c r="AL61" s="38">
        <f xml:space="preserve"> VLOOKUP( $B61, Tables!$A$324:$F$336, 2, 0 )</f>
        <v>0</v>
      </c>
      <c r="AM61" s="38">
        <f xml:space="preserve"> VLOOKUP( $B61, Tables!$A$324:$F$336, 3, 0 )</f>
        <v>0</v>
      </c>
      <c r="AN61" s="38">
        <f xml:space="preserve"> VLOOKUP( $B61, Tables!$A$324:$F$336, 4, 0 )</f>
        <v>0</v>
      </c>
      <c r="AO61" s="38">
        <f xml:space="preserve"> VLOOKUP( $B61, Tables!$A$324:$F$336, 5, 0 )</f>
        <v>0</v>
      </c>
      <c r="AP61" s="38">
        <f xml:space="preserve"> VLOOKUP( $B61, Tables!$A$324:$F$336, 6, 0 )</f>
        <v>0</v>
      </c>
    </row>
    <row r="62" spans="1:93" ht="10" customHeight="1">
      <c r="A62" s="23" t="s">
        <v>414</v>
      </c>
      <c r="B62" s="21" t="s">
        <v>298</v>
      </c>
      <c r="C62" s="35">
        <f t="shared" si="109"/>
        <v>0</v>
      </c>
      <c r="D62" s="72">
        <f t="shared" si="110"/>
        <v>0</v>
      </c>
      <c r="E62" s="34"/>
      <c r="F62" s="36"/>
      <c r="G62" s="25">
        <f>C62*D62*25</f>
        <v>0</v>
      </c>
      <c r="H62" s="25">
        <f>G62*0.002</f>
        <v>0</v>
      </c>
      <c r="I62" s="37"/>
      <c r="J62" s="20"/>
      <c r="K62" s="25">
        <f>C62*(D62&gt;0)*10</f>
        <v>0</v>
      </c>
      <c r="L62" s="102"/>
      <c r="S62" s="116" t="str">
        <f t="shared" si="108"/>
        <v>[tr][td]Launch Tube[/td][td][/td][td]0[/td][td]0[/td][td][/td][td][/td][td][/td][td][/td][td][/td][/tr]</v>
      </c>
      <c r="T62" s="116" t="str">
        <f t="shared" si="36"/>
        <v xml:space="preserve"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Empty hardpoint                             1         1          </v>
      </c>
      <c r="U62" s="116" t="str">
        <f t="shared" si="77"/>
        <v/>
      </c>
      <c r="V62" s="116" t="str">
        <f t="shared" si="7"/>
        <v>Launch Tube</v>
      </c>
      <c r="W62" s="116" t="str">
        <f t="shared" si="8"/>
        <v xml:space="preserve">         </v>
      </c>
      <c r="X62" s="117" t="str">
        <f xml:space="preserve"> CONCATENATE( D62 &amp; " Dton" )</f>
        <v>0 Dton</v>
      </c>
      <c r="Y62" s="116" t="str">
        <f t="shared" si="9"/>
        <v xml:space="preserve">         </v>
      </c>
      <c r="Z62" s="117" t="str">
        <f t="shared" si="10"/>
        <v xml:space="preserve">     </v>
      </c>
      <c r="AA62" s="117" t="str">
        <f t="shared" si="16"/>
        <v/>
      </c>
      <c r="AB62" s="117" t="str">
        <f t="shared" si="14"/>
        <v xml:space="preserve">     </v>
      </c>
      <c r="AC62" s="117" t="str">
        <f t="shared" si="17"/>
        <v/>
      </c>
      <c r="AD62" s="117" t="str">
        <f t="shared" si="12"/>
        <v xml:space="preserve">          </v>
      </c>
      <c r="AE62" s="117" t="str">
        <f t="shared" si="18"/>
        <v/>
      </c>
      <c r="AF62" s="116" t="str">
        <f t="shared" si="13"/>
        <v xml:space="preserve">          </v>
      </c>
      <c r="AG62" s="117" t="str">
        <f t="shared" si="19"/>
        <v/>
      </c>
      <c r="AH62" s="16" t="str">
        <f>""</f>
        <v/>
      </c>
      <c r="AK62" s="38" t="str">
        <f xml:space="preserve"> VLOOKUP( $B62, Tables!$A$324:$F$336, 1, 0 )</f>
        <v/>
      </c>
      <c r="AL62" s="38">
        <f xml:space="preserve"> VLOOKUP( $B62, Tables!$A$324:$F$336, 2, 0 )</f>
        <v>0</v>
      </c>
      <c r="AM62" s="38">
        <f xml:space="preserve"> VLOOKUP( $B62, Tables!$A$324:$F$336, 3, 0 )</f>
        <v>0</v>
      </c>
      <c r="AN62" s="38">
        <f xml:space="preserve"> VLOOKUP( $B62, Tables!$A$324:$F$336, 4, 0 )</f>
        <v>0</v>
      </c>
      <c r="AO62" s="38">
        <f xml:space="preserve"> VLOOKUP( $B62, Tables!$A$324:$F$336, 5, 0 )</f>
        <v>0</v>
      </c>
      <c r="AP62" s="38">
        <f xml:space="preserve"> VLOOKUP( $B62, Tables!$A$324:$F$336, 6, 0 )</f>
        <v>0</v>
      </c>
    </row>
    <row r="63" spans="1:93" ht="10" customHeight="1">
      <c r="A63" s="23" t="s">
        <v>72</v>
      </c>
      <c r="B63" s="21" t="s">
        <v>298</v>
      </c>
      <c r="C63" s="35">
        <f t="shared" ref="C63:C64" si="112">1*(D63&gt;0)</f>
        <v>0</v>
      </c>
      <c r="D63" s="72">
        <f>AL63</f>
        <v>0</v>
      </c>
      <c r="E63" s="87">
        <f>AM63</f>
        <v>0</v>
      </c>
      <c r="F63" s="36"/>
      <c r="G63" s="25">
        <f>C63*D63</f>
        <v>0</v>
      </c>
      <c r="H63" s="25">
        <f xml:space="preserve"> AI63</f>
        <v>0</v>
      </c>
      <c r="I63" s="37"/>
      <c r="J63" s="20"/>
      <c r="K63" s="25">
        <f>(SUM(C$63:C$64)&gt;3)*ROUNDUP(C63/3,0)</f>
        <v>0</v>
      </c>
      <c r="L63" s="102"/>
      <c r="S63" s="116" t="str">
        <f t="shared" si="108"/>
        <v>[tr][td]Vehicles[/td][td][/td][td]0[/td][td]0[/td][td]0[/td][td][/td][td][/td][td][/td][td][/td][/tr]</v>
      </c>
      <c r="T63" s="116" t="str">
        <f t="shared" si="36"/>
        <v xml:space="preserve"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Empty hardpoint                             1         1          </v>
      </c>
      <c r="U63" s="116" t="str">
        <f t="shared" ref="U63:U64" si="113" xml:space="preserve"> IF( IFERROR(C63,0)&gt;0, CONCATENATE(  newline &amp; V63 &amp; W63 &amp; X63 &amp; Y63 &amp; Z63 &amp; AA63 &amp; AB63 &amp; AC63 &amp; AD63 &amp; AE63 &amp; AF63 &amp; AG63 ), "" )</f>
        <v/>
      </c>
      <c r="V63" s="116" t="str">
        <f xml:space="preserve"> IF( B63&lt;&gt;"", B63, "Vehicle" )</f>
        <v>Vehicle</v>
      </c>
      <c r="W63" s="116" t="str">
        <f t="shared" si="8"/>
        <v xml:space="preserve">             </v>
      </c>
      <c r="X63" s="117" t="str">
        <f xml:space="preserve"> CONCATENATE( D63 &amp; " Dton" )</f>
        <v>0 Dton</v>
      </c>
      <c r="Y63" s="116" t="str">
        <f t="shared" si="9"/>
        <v xml:space="preserve">         </v>
      </c>
      <c r="Z63" s="117" t="str">
        <f t="shared" si="10"/>
        <v xml:space="preserve">     </v>
      </c>
      <c r="AA63" s="117" t="str">
        <f t="shared" si="16"/>
        <v/>
      </c>
      <c r="AB63" s="117" t="str">
        <f t="shared" si="14"/>
        <v xml:space="preserve">     </v>
      </c>
      <c r="AC63" s="117" t="str">
        <f t="shared" si="17"/>
        <v/>
      </c>
      <c r="AD63" s="117" t="str">
        <f t="shared" si="12"/>
        <v xml:space="preserve">          </v>
      </c>
      <c r="AE63" s="117" t="str">
        <f t="shared" si="18"/>
        <v/>
      </c>
      <c r="AF63" s="116" t="str">
        <f t="shared" si="13"/>
        <v xml:space="preserve">          </v>
      </c>
      <c r="AG63" s="117" t="str">
        <f t="shared" si="19"/>
        <v/>
      </c>
      <c r="AH63" s="16" t="str">
        <f>""</f>
        <v/>
      </c>
      <c r="AI63" s="16">
        <f>C63*E63</f>
        <v>0</v>
      </c>
      <c r="AK63" s="38" t="str">
        <f xml:space="preserve"> VLOOKUP( $B63, Tables!$A$315:$F$320, 1, 0 )</f>
        <v/>
      </c>
      <c r="AL63" s="38">
        <f xml:space="preserve"> VLOOKUP( $B63, Tables!$A$315:$F$320, 2, 0 )</f>
        <v>0</v>
      </c>
      <c r="AM63" s="38">
        <f xml:space="preserve"> VLOOKUP( $B63, Tables!$A$315:$F$320, 3, 0 )</f>
        <v>0</v>
      </c>
      <c r="AN63" s="38">
        <f xml:space="preserve"> VLOOKUP( $B63, Tables!$A$315:$F$320, 4, 0 )</f>
        <v>0</v>
      </c>
      <c r="AO63" s="38">
        <f xml:space="preserve"> VLOOKUP( $B63, Tables!$A$315:$F$320, 5, 0 )</f>
        <v>0</v>
      </c>
      <c r="AP63" s="38">
        <f xml:space="preserve"> VLOOKUP( $B63, Tables!$A$315:$F$320, 6, 0 )</f>
        <v>0</v>
      </c>
    </row>
    <row r="64" spans="1:93" ht="10" customHeight="1">
      <c r="A64" s="23"/>
      <c r="B64" s="21" t="s">
        <v>298</v>
      </c>
      <c r="C64" s="35">
        <f t="shared" si="112"/>
        <v>0</v>
      </c>
      <c r="D64" s="72">
        <f>AL64</f>
        <v>0</v>
      </c>
      <c r="E64" s="87">
        <f>AM64</f>
        <v>0</v>
      </c>
      <c r="F64" s="36"/>
      <c r="G64" s="25">
        <f>C64*D64</f>
        <v>0</v>
      </c>
      <c r="H64" s="25">
        <f xml:space="preserve"> AI64</f>
        <v>0</v>
      </c>
      <c r="I64" s="37"/>
      <c r="J64" s="20"/>
      <c r="K64" s="25">
        <f>(SUM(C$63:C$64)&gt;3)*ROUNDUP(C64/3,0)</f>
        <v>0</v>
      </c>
      <c r="L64" s="102"/>
      <c r="S64" s="116" t="str">
        <f t="shared" si="108"/>
        <v>[tr][td][/td][td][/td][td]0[/td][td]0[/td][td]0[/td][td][/td][td][/td][td][/td][td][/td][/tr]</v>
      </c>
      <c r="T64" s="116" t="str">
        <f t="shared" si="36"/>
        <v xml:space="preserve"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Empty hardpoint                             1         1          </v>
      </c>
      <c r="U64" s="116" t="str">
        <f t="shared" si="113"/>
        <v/>
      </c>
      <c r="V64" s="116" t="str">
        <f xml:space="preserve"> IF( B64&lt;&gt;"", B64, "Vehicle" )</f>
        <v>Vehicle</v>
      </c>
      <c r="W64" s="116" t="str">
        <f t="shared" si="8"/>
        <v xml:space="preserve">             </v>
      </c>
      <c r="X64" s="117" t="str">
        <f xml:space="preserve"> CONCATENATE( D64 &amp; " Dton" )</f>
        <v>0 Dton</v>
      </c>
      <c r="Y64" s="116" t="str">
        <f t="shared" si="9"/>
        <v xml:space="preserve">         </v>
      </c>
      <c r="Z64" s="117" t="str">
        <f t="shared" si="10"/>
        <v xml:space="preserve">     </v>
      </c>
      <c r="AA64" s="117" t="str">
        <f t="shared" si="16"/>
        <v/>
      </c>
      <c r="AB64" s="117" t="str">
        <f t="shared" si="14"/>
        <v xml:space="preserve">     </v>
      </c>
      <c r="AC64" s="117" t="str">
        <f t="shared" si="17"/>
        <v/>
      </c>
      <c r="AD64" s="117" t="str">
        <f t="shared" si="12"/>
        <v xml:space="preserve">          </v>
      </c>
      <c r="AE64" s="117" t="str">
        <f t="shared" si="18"/>
        <v/>
      </c>
      <c r="AF64" s="116" t="str">
        <f t="shared" si="13"/>
        <v xml:space="preserve">          </v>
      </c>
      <c r="AG64" s="117" t="str">
        <f t="shared" si="19"/>
        <v/>
      </c>
      <c r="AH64" s="16" t="str">
        <f>""</f>
        <v/>
      </c>
      <c r="AI64" s="16">
        <f>C64*E64</f>
        <v>0</v>
      </c>
      <c r="AK64" s="38" t="str">
        <f xml:space="preserve"> VLOOKUP( $B64, Tables!$A$315:$F$320, 1, 0 )</f>
        <v/>
      </c>
      <c r="AL64" s="38">
        <f xml:space="preserve"> VLOOKUP( $B64, Tables!$A$315:$F$320, 2, 0 )</f>
        <v>0</v>
      </c>
      <c r="AM64" s="38">
        <f xml:space="preserve"> VLOOKUP( $B64, Tables!$A$315:$F$320, 3, 0 )</f>
        <v>0</v>
      </c>
      <c r="AN64" s="38">
        <f xml:space="preserve"> VLOOKUP( $B64, Tables!$A$315:$F$320, 4, 0 )</f>
        <v>0</v>
      </c>
      <c r="AO64" s="38">
        <f xml:space="preserve"> VLOOKUP( $B64, Tables!$A$315:$F$320, 5, 0 )</f>
        <v>0</v>
      </c>
      <c r="AP64" s="38">
        <f xml:space="preserve"> VLOOKUP( $B64, Tables!$A$315:$F$320, 6, 0 )</f>
        <v>0</v>
      </c>
    </row>
    <row r="65" spans="1:92" s="115" customFormat="1" ht="10" customHeight="1">
      <c r="A65" s="23"/>
      <c r="C65" s="34"/>
      <c r="D65" s="73" t="s">
        <v>120</v>
      </c>
      <c r="E65" s="34"/>
      <c r="F65" s="36"/>
      <c r="G65" s="25"/>
      <c r="H65" s="25"/>
      <c r="I65" s="37"/>
      <c r="J65" s="113"/>
      <c r="K65" s="25"/>
      <c r="L65" s="102"/>
      <c r="S65" s="116" t="str">
        <f t="shared" si="108"/>
        <v>[tr][td][/td][td][/td][td][/td][td]Ready[/td][td][/td][td][/td][td][/td][td][/td][td][/td][/tr]</v>
      </c>
      <c r="T65" s="116" t="str">
        <f t="shared" si="36"/>
        <v xml:space="preserve"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Empty hardpoint                             1         1          </v>
      </c>
      <c r="U65" s="116" t="str">
        <f xml:space="preserve"> IF( IFERROR(SUM(C65:C69),0)&gt;0, CONCATENATE(  newline &amp; V65 &amp; W65 &amp; X65 &amp; Y65 &amp; Z65 &amp; AA65 &amp; AB65 &amp; AC65 &amp; AD65 &amp; AE65 &amp; AF65 &amp; AG65 ), "" )</f>
        <v/>
      </c>
      <c r="V65" s="116" t="str">
        <f t="shared" ref="V65" si="114" xml:space="preserve"> T( A65 )</f>
        <v/>
      </c>
      <c r="W65" s="116" t="str">
        <f t="shared" si="8"/>
        <v xml:space="preserve">                    </v>
      </c>
      <c r="X65" s="117" t="str">
        <f t="shared" ref="X65" si="115" xml:space="preserve"> IF( B65&lt;&gt;0, B65, "" )</f>
        <v/>
      </c>
      <c r="Y65" s="116" t="str">
        <f t="shared" si="9"/>
        <v xml:space="preserve">               </v>
      </c>
      <c r="Z65" s="117" t="str">
        <f t="shared" si="10"/>
        <v xml:space="preserve">     </v>
      </c>
      <c r="AA65" s="117" t="str">
        <f t="shared" si="16"/>
        <v/>
      </c>
      <c r="AB65" s="117" t="str">
        <f t="shared" si="14"/>
        <v xml:space="preserve">     </v>
      </c>
      <c r="AC65" s="117" t="str">
        <f t="shared" si="17"/>
        <v/>
      </c>
      <c r="AD65" s="117" t="str">
        <f t="shared" si="12"/>
        <v xml:space="preserve">          </v>
      </c>
      <c r="AE65" s="117" t="str">
        <f t="shared" si="18"/>
        <v/>
      </c>
      <c r="AF65" s="116" t="str">
        <f t="shared" si="13"/>
        <v xml:space="preserve">          </v>
      </c>
      <c r="AG65" s="117" t="str">
        <f t="shared" si="19"/>
        <v/>
      </c>
      <c r="AH65" s="115" t="str">
        <f>""</f>
        <v/>
      </c>
      <c r="BK65" s="132"/>
      <c r="BS65" s="132"/>
      <c r="CN65" s="132"/>
    </row>
    <row r="66" spans="1:92" s="115" customFormat="1" ht="10" customHeight="1">
      <c r="A66" s="23" t="s">
        <v>121</v>
      </c>
      <c r="C66" s="35">
        <v>0</v>
      </c>
      <c r="D66" s="35">
        <f xml:space="preserve"> 1 * (C66&gt;0)</f>
        <v>0</v>
      </c>
      <c r="E66" s="34"/>
      <c r="F66" s="36"/>
      <c r="G66" s="25">
        <f xml:space="preserve"> C66 * 0.5 * ( 1 + D66 )</f>
        <v>0</v>
      </c>
      <c r="H66" s="25">
        <f xml:space="preserve"> C66 * 0.01</f>
        <v>0</v>
      </c>
      <c r="I66" s="37"/>
      <c r="J66" s="113"/>
      <c r="K66" s="25"/>
      <c r="L66" s="102"/>
      <c r="S66" s="116" t="str">
        <f t="shared" ref="S66" si="116" xml:space="preserve"> CONCATENATE(  "[tr]",  "[td]",A66,"[/td]", "[td]",B66,"[/td]", "[td]",C66,"[/td]", "[td]",D66,"[/td]", "[td]",E66,"[/td]", "[td]",F66,"[/td]", "[td]",IF(G66&lt;&gt;0,G66,""),"[/td]", "[td]",IF(H66&lt;&gt;0,H66,""),"[/td]", "[td]",IF(I66&lt;&gt;0,I66,""),"[/td]",  "[/tr]" )</f>
        <v>[tr][td]Jump Capsule[/td][td][/td][td]0[/td][td]0[/td][td][/td][td][/td][td][/td][td][/td][td][/td][/tr]</v>
      </c>
      <c r="T66" s="116" t="str">
        <f t="shared" si="36"/>
        <v xml:space="preserve"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Empty hardpoint                             1         1          </v>
      </c>
      <c r="U66" s="116" t="str">
        <f xml:space="preserve"> IF( IFERROR(SUM(C66:C70),0)&gt;0, CONCATENATE(  newline &amp; V66 &amp; W66 &amp; X66 &amp; Y66 &amp; Z66 &amp; AA66 &amp; AB66 &amp; AC66 &amp; AD66 &amp; AE66 &amp; AF66 &amp; AG66 ), "" )</f>
        <v/>
      </c>
      <c r="V66" s="116" t="str">
        <f t="shared" ref="V66" si="117" xml:space="preserve"> T( A66 )</f>
        <v>Jump Capsule</v>
      </c>
      <c r="W66" s="116" t="str">
        <f t="shared" ref="W66" si="118" xml:space="preserve"> REPT(" ",MAX(0,20-LEN(V66)))</f>
        <v xml:space="preserve">        </v>
      </c>
      <c r="X66" s="117" t="str">
        <f xml:space="preserve"> IF( D66&lt;&gt;0, CONCATENATE( D66, " ready" ), "" )</f>
        <v/>
      </c>
      <c r="Y66" s="116" t="str">
        <f t="shared" ref="Y66" si="119" xml:space="preserve"> REPT(" ",MAX(0,15-LEN(X66)))</f>
        <v xml:space="preserve">               </v>
      </c>
      <c r="Z66" s="117" t="str">
        <f t="shared" ref="Z66" si="120" xml:space="preserve"> REPT(" ",MAX(0,5-LEN(AA66)))</f>
        <v xml:space="preserve">     </v>
      </c>
      <c r="AA66" s="117" t="str">
        <f t="shared" ref="AA66" si="121" xml:space="preserve"> IF( F66&lt;&gt;0, F66, "" )</f>
        <v/>
      </c>
      <c r="AB66" s="117" t="str">
        <f t="shared" ref="AB66" si="122" xml:space="preserve"> REPT(" ",MAX(0,5-LEN(AC66)))</f>
        <v xml:space="preserve">     </v>
      </c>
      <c r="AC66" s="117" t="str">
        <f t="shared" ref="AC66" si="123" xml:space="preserve"> IF( C66&lt;&gt;0, C66, "" )</f>
        <v/>
      </c>
      <c r="AD66" s="117" t="str">
        <f t="shared" ref="AD66" si="124" xml:space="preserve"> REPT(" ",MAX(0,10-LEN(AE66)))</f>
        <v xml:space="preserve">          </v>
      </c>
      <c r="AE66" s="117" t="str">
        <f t="shared" ref="AE66" si="125" xml:space="preserve"> IF( G66&lt;&gt;0, IFERROR(ROUND( G66, 1),G66), "" )</f>
        <v/>
      </c>
      <c r="AF66" s="116" t="str">
        <f t="shared" ref="AF66" si="126" xml:space="preserve"> REPT(" ",MAX(0,10-LEN(AG66)))</f>
        <v xml:space="preserve">          </v>
      </c>
      <c r="AG66" s="117" t="str">
        <f t="shared" ref="AG66" si="127" xml:space="preserve"> IF( H66&lt;&gt;0, IFERROR(ROUND( H66, 1),H66), "" )</f>
        <v/>
      </c>
      <c r="AH66" s="115" t="str">
        <f>""</f>
        <v/>
      </c>
      <c r="BK66" s="132"/>
      <c r="BS66" s="132"/>
      <c r="CN66" s="132"/>
    </row>
    <row r="67" spans="1:92" ht="10" customHeight="1">
      <c r="A67" s="88"/>
      <c r="C67" s="34"/>
      <c r="D67" s="34"/>
      <c r="E67" s="34"/>
      <c r="F67" s="36"/>
      <c r="G67" s="25"/>
      <c r="H67" s="25"/>
      <c r="I67" s="37"/>
      <c r="J67" s="20"/>
      <c r="K67" s="25"/>
      <c r="L67" s="102"/>
      <c r="S67" s="116" t="str">
        <f t="shared" si="108"/>
        <v>[tr][td][/td][td][/td][td][/td][td][/td][td][/td][td][/td][td][/td][td][/td][td][/td][/tr]</v>
      </c>
      <c r="T67" s="116" t="str">
        <f t="shared" ref="T67:T97" si="128" xml:space="preserve"> CONCATENATE( INDEX($T$1:$T$97,ROW(T67)-1),U67 )</f>
        <v xml:space="preserve"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Empty hardpoint                             1         1          
                                                                 </v>
      </c>
      <c r="U67" s="116" t="str">
        <f t="shared" si="6"/>
        <v xml:space="preserve">
                                                                 </v>
      </c>
      <c r="V67" s="116" t="str">
        <f t="shared" si="7"/>
        <v/>
      </c>
      <c r="W67" s="116" t="str">
        <f t="shared" si="8"/>
        <v xml:space="preserve">                    </v>
      </c>
      <c r="X67" s="117" t="str">
        <f t="shared" si="22"/>
        <v/>
      </c>
      <c r="Y67" s="116" t="str">
        <f t="shared" si="9"/>
        <v xml:space="preserve">               </v>
      </c>
      <c r="Z67" s="117" t="str">
        <f t="shared" si="10"/>
        <v xml:space="preserve">     </v>
      </c>
      <c r="AA67" s="117" t="str">
        <f t="shared" si="16"/>
        <v/>
      </c>
      <c r="AB67" s="117" t="str">
        <f t="shared" si="14"/>
        <v xml:space="preserve">     </v>
      </c>
      <c r="AC67" s="117" t="str">
        <f t="shared" si="17"/>
        <v/>
      </c>
      <c r="AD67" s="117" t="str">
        <f t="shared" si="12"/>
        <v xml:space="preserve">          </v>
      </c>
      <c r="AE67" s="117" t="str">
        <f t="shared" si="18"/>
        <v/>
      </c>
      <c r="AF67" s="116" t="str">
        <f t="shared" si="13"/>
        <v xml:space="preserve">          </v>
      </c>
      <c r="AG67" s="117" t="str">
        <f t="shared" si="19"/>
        <v/>
      </c>
      <c r="AH67" s="16" t="str">
        <f>""</f>
        <v/>
      </c>
    </row>
    <row r="68" spans="1:92" ht="10" customHeight="1">
      <c r="A68" s="23" t="s">
        <v>88</v>
      </c>
      <c r="B68" s="86">
        <f>H68</f>
        <v>49.150000000000006</v>
      </c>
      <c r="C68" s="38"/>
      <c r="D68" s="38"/>
      <c r="E68" s="38"/>
      <c r="F68" s="73" t="s">
        <v>278</v>
      </c>
      <c r="G68" s="24">
        <f xml:space="preserve"> Tonnage - AI68</f>
        <v>36</v>
      </c>
      <c r="H68" s="86">
        <f>SUM(H9:H67)</f>
        <v>49.150000000000006</v>
      </c>
      <c r="I68" s="24">
        <f xml:space="preserve"> EPNoDrop + SUM(I9:I67) - IF(AND($BD$14=0,I18=0),MAX(Jump,Man)*TotalTonnage/100,0) + 0.001</f>
        <v>2.0009999999999999</v>
      </c>
      <c r="J68" s="26">
        <f xml:space="preserve"> Hardpoints+SUM(J9:J67)</f>
        <v>0</v>
      </c>
      <c r="K68" s="38"/>
      <c r="L68" s="100"/>
      <c r="S68" s="116" t="str">
        <f xml:space="preserve"> CONCATENATE(  "[tr]",  "[td]","[b]",A68,"[/b]","[/td]", "[td]",ROUND(B68,2),"[/td]", "[td]",C68,"[/td]", "[td]",D68,"[/td]", "[td]",E68,"[/td]", "[td]","Sum:","[/td]", "[td]",G68,"[/td]", "[td]",H68,"[/td]", "[td]",I68,"[/td]",  "[/tr]" )</f>
        <v>[tr][td][b]Nominal Cost[/b][/td][td]49,15[/td][td][/td][td][/td][td][/td][td]Sum:[/td][td]36[/td][td]49,15[/td][td]2,001[/td][/tr]</v>
      </c>
      <c r="T68" s="116" t="str">
        <f t="shared" si="128"/>
        <v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Empty hardpoint                             1         1          
Nominal Cost        MCr 49,15            Sum:        36      49,2</v>
      </c>
      <c r="U68" s="116" t="str">
        <f t="shared" si="6"/>
        <v xml:space="preserve">
Nominal Cost        MCr 49,15            Sum:        36      49,2</v>
      </c>
      <c r="V68" s="116" t="str">
        <f t="shared" si="7"/>
        <v>Nominal Cost</v>
      </c>
      <c r="W68" s="116" t="str">
        <f t="shared" si="8"/>
        <v xml:space="preserve">        </v>
      </c>
      <c r="X68" s="117" t="str">
        <f xml:space="preserve"> IF( B68&lt;&gt;0, CONCATENATE( "MCr " &amp; ROUND(B68,2) ), "" )</f>
        <v>MCr 49,15</v>
      </c>
      <c r="Y68" s="116" t="str">
        <f t="shared" si="9"/>
        <v xml:space="preserve">      </v>
      </c>
      <c r="Z68" s="117" t="str">
        <f t="shared" si="10"/>
        <v xml:space="preserve">     </v>
      </c>
      <c r="AB68" s="117" t="str">
        <f t="shared" si="14"/>
        <v xml:space="preserve"> </v>
      </c>
      <c r="AC68" s="117" t="s">
        <v>405</v>
      </c>
      <c r="AD68" s="117" t="str">
        <f t="shared" si="12"/>
        <v xml:space="preserve">        </v>
      </c>
      <c r="AE68" s="117">
        <f t="shared" si="18"/>
        <v>36</v>
      </c>
      <c r="AF68" s="116" t="str">
        <f t="shared" si="13"/>
        <v xml:space="preserve">      </v>
      </c>
      <c r="AG68" s="117">
        <f t="shared" si="19"/>
        <v>49.2</v>
      </c>
      <c r="AH68" s="16" t="str">
        <f>""</f>
        <v/>
      </c>
      <c r="AI68" s="27">
        <f xml:space="preserve"> IF(ISERROR(AJ68),0,AJ68) + IF(ISERROR(AK68),0,AK68)</f>
        <v>64</v>
      </c>
      <c r="AJ68" s="25">
        <f xml:space="preserve"> SUM( G9:G30 )</f>
        <v>43</v>
      </c>
      <c r="AK68" s="25">
        <f xml:space="preserve"> SUM( G32:G67 )</f>
        <v>21</v>
      </c>
      <c r="AM68" s="16">
        <f xml:space="preserve"> ROUNDUP( LOG(B68,10),0 )</f>
        <v>2</v>
      </c>
    </row>
    <row r="69" spans="1:92" ht="10" customHeight="1">
      <c r="A69" s="23" t="s">
        <v>117</v>
      </c>
      <c r="B69" s="86">
        <f xml:space="preserve"> (B68-AI69) * 0.21</f>
        <v>10.3215</v>
      </c>
      <c r="C69" s="38"/>
      <c r="D69" s="38"/>
      <c r="E69" s="38"/>
      <c r="F69" s="73" t="s">
        <v>64</v>
      </c>
      <c r="G69" s="34" t="s">
        <v>167</v>
      </c>
      <c r="H69" s="34" t="s">
        <v>167</v>
      </c>
      <c r="I69" s="34" t="s">
        <v>167</v>
      </c>
      <c r="J69" s="34" t="s">
        <v>167</v>
      </c>
      <c r="K69" s="38"/>
      <c r="L69" s="100"/>
      <c r="S69" s="116" t="str">
        <f xml:space="preserve"> CONCATENATE(  "[tr]",  "[td]",A69,"[/td]", "[td]",ROUND(B69,2),"[/td]", "[td]",C69,"[/td]", "[td]",D69,"[/td]", "[td]",E69,"[/td]", "[td]","Valid","[/td]", "[td]",G69,"[/td]", "[td]",H69,"[/td]", "[td]",I69,"[/td]",  "[/tr]" )</f>
        <v>[tr][td]Class Cost[/td][td]10,32[/td][td][/td][td][/td][td][/td][td]Valid[/td][td]≥0[/td][td]≥0[/td][td]≥0[/td][/tr]</v>
      </c>
      <c r="T69" s="116" t="str">
        <f t="shared" si="128"/>
        <v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Empty hardpoint                             1         1          
Nominal Cost        MCr 49,15            Sum:        36      49,2
Class Cost          MCr 10,32           Valid        ≥0        ≥0</v>
      </c>
      <c r="U69" s="116" t="str">
        <f t="shared" si="6"/>
        <v xml:space="preserve">
Class Cost          MCr 10,32           Valid        ≥0        ≥0</v>
      </c>
      <c r="V69" s="116" t="str">
        <f t="shared" si="7"/>
        <v>Class Cost</v>
      </c>
      <c r="W69" s="116" t="str">
        <f t="shared" si="8"/>
        <v xml:space="preserve">          </v>
      </c>
      <c r="X69" s="117" t="str">
        <f xml:space="preserve"> IF( B69&lt;&gt;0, CONCATENATE( "MCr " &amp; IF($AM69&lt;IFERROR($AM$68,$AM69)," ","") &amp; ROUND(B69,2) ), "" )</f>
        <v>MCr 10,32</v>
      </c>
      <c r="Y69" s="116" t="str">
        <f t="shared" si="9"/>
        <v xml:space="preserve">      </v>
      </c>
      <c r="Z69" s="117" t="str">
        <f t="shared" si="10"/>
        <v xml:space="preserve">     </v>
      </c>
      <c r="AB69" s="117" t="str">
        <f t="shared" si="14"/>
        <v/>
      </c>
      <c r="AC69" s="117" t="s">
        <v>406</v>
      </c>
      <c r="AD69" s="117" t="str">
        <f t="shared" si="12"/>
        <v xml:space="preserve">        </v>
      </c>
      <c r="AE69" s="117" t="str">
        <f t="shared" si="18"/>
        <v>≥0</v>
      </c>
      <c r="AF69" s="116" t="str">
        <f t="shared" si="13"/>
        <v xml:space="preserve">        </v>
      </c>
      <c r="AG69" s="117" t="str">
        <f t="shared" si="19"/>
        <v>≥0</v>
      </c>
      <c r="AH69" s="16" t="str">
        <f>""</f>
        <v/>
      </c>
      <c r="AI69" s="16">
        <f xml:space="preserve"> IF(ISERROR(SUM(AI59:AI67)),0,SUM(AI59:AI67))</f>
        <v>0</v>
      </c>
      <c r="AM69" s="115">
        <f t="shared" ref="AM69:AM70" si="129" xml:space="preserve"> ROUNDUP( LOG(B69,10),0 )</f>
        <v>2</v>
      </c>
    </row>
    <row r="70" spans="1:92" ht="10" customHeight="1">
      <c r="A70" s="23" t="s">
        <v>197</v>
      </c>
      <c r="B70" s="86">
        <f xml:space="preserve"> (B68-AI69)*IF(LBB&gt;0,0.9,0.8) + AI69</f>
        <v>39.320000000000007</v>
      </c>
      <c r="C70" s="38"/>
      <c r="D70" s="38"/>
      <c r="E70" s="38"/>
      <c r="F70" s="38"/>
      <c r="G70" s="38"/>
      <c r="H70" s="86"/>
      <c r="I70" s="38"/>
      <c r="J70" s="20"/>
      <c r="K70" s="38"/>
      <c r="S70" s="116" t="str">
        <f xml:space="preserve"> CONCATENATE(  "[tr]",  "[td]",A70,"[/td]", "[td]",ROUND(B70,2),"[/td]", "[td]",C70,"[/td]", "[td]",D70,"[/td]", "[td]",E70,"[/td]", "[td]","","[/td]", "[td]",G70,"[/td]", "[td]",H70,"[/td]", "[td]",I70,"[/td]",  "[/tr]" )</f>
        <v>[tr][td]Ship Cost[/td][td]39,32[/td][td][/td][td][/td][td][/td][td][/td][td][/td][td][/td][td][/td][/tr]</v>
      </c>
      <c r="T70" s="116" t="str">
        <f t="shared" si="128"/>
        <v xml:space="preserve"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Empty hardpoint                             1         1          
Nominal Cost        MCr 49,15            Sum:        36      49,2
Class Cost          MCr 10,32           Valid        ≥0        ≥0
Ship Cost           MCr 39,32                                    </v>
      </c>
      <c r="U70" s="116" t="str">
        <f t="shared" si="6"/>
        <v xml:space="preserve">
Ship Cost           MCr 39,32                                    </v>
      </c>
      <c r="V70" s="116" t="str">
        <f t="shared" si="7"/>
        <v>Ship Cost</v>
      </c>
      <c r="W70" s="116" t="str">
        <f t="shared" si="8"/>
        <v xml:space="preserve">           </v>
      </c>
      <c r="X70" s="117" t="str">
        <f xml:space="preserve"> IF( B70&lt;&gt;0, CONCATENATE( "MCr " &amp; IF($AM70&lt;IFERROR($AM$68,$AM70)," ","") &amp; ROUND(B70,2) ), "" )</f>
        <v>MCr 39,32</v>
      </c>
      <c r="Y70" s="116" t="str">
        <f t="shared" si="9"/>
        <v xml:space="preserve">      </v>
      </c>
      <c r="Z70" s="117" t="str">
        <f t="shared" si="10"/>
        <v xml:space="preserve">     </v>
      </c>
      <c r="AA70" s="117" t="str">
        <f t="shared" si="16"/>
        <v/>
      </c>
      <c r="AB70" s="117" t="str">
        <f t="shared" si="14"/>
        <v xml:space="preserve">     </v>
      </c>
      <c r="AC70" s="117" t="str">
        <f t="shared" si="17"/>
        <v/>
      </c>
      <c r="AD70" s="117" t="str">
        <f t="shared" si="12"/>
        <v xml:space="preserve">          </v>
      </c>
      <c r="AE70" s="117" t="str">
        <f t="shared" si="18"/>
        <v/>
      </c>
      <c r="AF70" s="116" t="str">
        <f t="shared" si="13"/>
        <v xml:space="preserve">          </v>
      </c>
      <c r="AG70" s="117" t="str">
        <f t="shared" si="19"/>
        <v/>
      </c>
      <c r="AH70" s="16" t="str">
        <f>""</f>
        <v/>
      </c>
      <c r="AM70" s="115">
        <f t="shared" si="129"/>
        <v>2</v>
      </c>
    </row>
    <row r="71" spans="1:92" ht="10" customHeight="1">
      <c r="C71" s="38"/>
      <c r="D71" s="38"/>
      <c r="E71" s="38"/>
      <c r="F71" s="38"/>
      <c r="G71" s="38"/>
      <c r="H71" s="89"/>
      <c r="I71" s="38"/>
      <c r="J71" s="20"/>
      <c r="K71" s="38"/>
      <c r="S71" s="116" t="str">
        <f xml:space="preserve"> CONCATENATE(  "[tr]",  "[td]",A71,"[/td]", "[td]",B71,"[/td]", "[td]",C71,"[/td]", "[td]",D71,"[/td]", "[td]",E71,"[/td]", "[td]",F71,"[/td]", "[td]",G71,"[/td]", "[td]",H71,"[/td]", "[td]",I71,"[/td]",   "[/tr]" )</f>
        <v>[tr][td][/td][td][/td][td][/td][td][/td][td][/td][td][/td][td][/td][td][/td][td][/td][/tr]</v>
      </c>
      <c r="T71" s="116" t="str">
        <f t="shared" si="128"/>
        <v xml:space="preserve"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Empty hardpoint                             1         1          
Nominal Cost        MCr 49,15            Sum:        36      49,2
Class Cost          MCr 10,32           Valid        ≥0        ≥0
Ship Cost           MCr 39,32                                    
                                                                 </v>
      </c>
      <c r="U71" s="116" t="str">
        <f t="shared" si="6"/>
        <v xml:space="preserve">
                                                                 </v>
      </c>
      <c r="V71" s="116" t="str">
        <f t="shared" si="7"/>
        <v/>
      </c>
      <c r="W71" s="116" t="str">
        <f t="shared" si="8"/>
        <v xml:space="preserve">                    </v>
      </c>
      <c r="X71" s="117" t="str">
        <f t="shared" si="22"/>
        <v/>
      </c>
      <c r="Y71" s="116" t="str">
        <f t="shared" si="9"/>
        <v xml:space="preserve">               </v>
      </c>
      <c r="Z71" s="117" t="str">
        <f t="shared" si="10"/>
        <v xml:space="preserve">     </v>
      </c>
      <c r="AA71" s="117" t="str">
        <f t="shared" si="16"/>
        <v/>
      </c>
      <c r="AB71" s="117" t="str">
        <f t="shared" si="14"/>
        <v xml:space="preserve">     </v>
      </c>
      <c r="AC71" s="117" t="str">
        <f t="shared" si="17"/>
        <v/>
      </c>
      <c r="AD71" s="117" t="str">
        <f t="shared" si="12"/>
        <v xml:space="preserve">          </v>
      </c>
      <c r="AE71" s="117" t="str">
        <f t="shared" si="18"/>
        <v/>
      </c>
      <c r="AF71" s="116" t="str">
        <f t="shared" si="13"/>
        <v xml:space="preserve">          </v>
      </c>
      <c r="AG71" s="117" t="str">
        <f t="shared" si="19"/>
        <v/>
      </c>
      <c r="AH71" s="16" t="str">
        <f>""</f>
        <v/>
      </c>
    </row>
    <row r="72" spans="1:92" ht="10" customHeight="1">
      <c r="C72" s="38"/>
      <c r="D72" s="38"/>
      <c r="E72" s="38"/>
      <c r="F72" s="38"/>
      <c r="G72" s="38"/>
      <c r="H72" s="86"/>
      <c r="I72" s="38"/>
      <c r="J72" s="38"/>
      <c r="K72" s="38"/>
      <c r="T72" s="116" t="str">
        <f t="shared" si="128"/>
        <v xml:space="preserve"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Empty hardpoint                             1         1          
Nominal Cost        MCr 49,15            Sum:        36      49,2
Class Cost          MCr 10,32           Valid        ≥0        ≥0
Ship Cost           MCr 39,32                                    
                                                                 </v>
      </c>
      <c r="U72" s="116" t="str">
        <f t="shared" ref="U72:U96" si="130" xml:space="preserve"> CONCATENATE(  newline &amp; V72 &amp; W72 &amp; X72 &amp; Y72 &amp; Z72 &amp; AA72 &amp; AB72 &amp; AC72 &amp; AD72 &amp; AE72 &amp; AF72 &amp; AG72 )</f>
        <v xml:space="preserve">
                                                                 </v>
      </c>
      <c r="V72" s="116" t="str">
        <f t="shared" ref="V72:V96" si="131" xml:space="preserve"> T( A72 )</f>
        <v/>
      </c>
      <c r="W72" s="116" t="str">
        <f t="shared" ref="W72:W94" si="132" xml:space="preserve"> REPT(" ",MAX(0,20-LEN(V72)))</f>
        <v xml:space="preserve">                    </v>
      </c>
      <c r="X72" s="117" t="str">
        <f t="shared" si="22"/>
        <v/>
      </c>
      <c r="Y72" s="116" t="str">
        <f t="shared" ref="Y72:Y84" si="133" xml:space="preserve"> REPT(" ",MAX(0,15-LEN(X72)))</f>
        <v xml:space="preserve">               </v>
      </c>
      <c r="Z72" s="117" t="str">
        <f t="shared" ref="Z72:Z96" si="134" xml:space="preserve"> REPT(" ",MAX(0,5-LEN(AA72)))</f>
        <v xml:space="preserve">     </v>
      </c>
      <c r="AA72" s="117" t="str">
        <f t="shared" si="16"/>
        <v/>
      </c>
      <c r="AB72" s="117" t="str">
        <f t="shared" si="14"/>
        <v xml:space="preserve">     </v>
      </c>
      <c r="AC72" s="117" t="str">
        <f t="shared" si="17"/>
        <v/>
      </c>
      <c r="AD72" s="117" t="str">
        <f t="shared" ref="AD72:AD96" si="135" xml:space="preserve"> REPT(" ",MAX(0,10-LEN(AE72)))</f>
        <v xml:space="preserve">          </v>
      </c>
      <c r="AE72" s="117" t="str">
        <f t="shared" si="18"/>
        <v/>
      </c>
      <c r="AF72" s="116" t="str">
        <f t="shared" ref="AF72:AF96" si="136" xml:space="preserve"> REPT(" ",MAX(0,10-LEN(AG72)))</f>
        <v xml:space="preserve">          </v>
      </c>
      <c r="AG72" s="117" t="str">
        <f t="shared" si="19"/>
        <v/>
      </c>
      <c r="AH72" s="16" t="str">
        <f>""</f>
        <v/>
      </c>
      <c r="AM72" s="28"/>
      <c r="AN72" s="28"/>
    </row>
    <row r="73" spans="1:92" s="112" customFormat="1" ht="10" customHeight="1">
      <c r="A73" s="23" t="s">
        <v>178</v>
      </c>
      <c r="C73" s="28" t="s">
        <v>119</v>
      </c>
      <c r="D73" s="21">
        <v>0</v>
      </c>
      <c r="E73" s="38"/>
      <c r="F73" s="38"/>
      <c r="G73" s="28" t="s">
        <v>177</v>
      </c>
      <c r="H73" s="114">
        <f xml:space="preserve"> MAX( SUM( K73:K77 ), IF( AND( Tonnage&gt;1000, LBB&gt;0 ), ROUNDUP(Tonnage/1000*10,0), 0 ) )</f>
        <v>1</v>
      </c>
      <c r="I73" s="38"/>
      <c r="J73" s="28" t="s">
        <v>268</v>
      </c>
      <c r="K73" s="113">
        <f xml:space="preserve"> ROUNDUP(IF(AND(Tonnage&gt;1000,LBB&lt;=0),MAX(10,Tonnage/2000),1+(Tonnage&gt;200)+5*(Tonnage&gt;1000)),0)</f>
        <v>1</v>
      </c>
      <c r="L73" s="38"/>
      <c r="M73" s="38"/>
      <c r="N73" s="38"/>
      <c r="S73" s="116" t="str">
        <f xml:space="preserve"> CONCATENATE(  "[tr]",  "[td]","[b]",A73,"[/b]","[/td]", "[td]",B73,"[/td]", "[td]",C73,"[/td]", "[td]",D73,"[/td]", "[td]",E73,"[/td]", "[td]",G73,"[/td]", "[td]",H73,"[/td]", "[td]",J73,"[/td]", "[td]",K73,"[/td]",   "[/tr]" )</f>
        <v>[tr][td][b]Crew &amp;[/b][/td][td][/td][td]High[/td][td]0[/td][td][/td][td]Crew[/td][td]1[/td][td]Bridge[/td][td]1[/td][/tr]</v>
      </c>
      <c r="T73" s="116" t="str">
        <f t="shared" si="128"/>
        <v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Empty hardpoint                             1         1          
Nominal Cost        MCr 49,15            Sum:        36      49,2
Class Cost          MCr 10,32           Valid        ≥0        ≥0
Ship Cost           MCr 39,32                                    
Crew &amp;               High     0        Crew          Bridge     1</v>
      </c>
      <c r="U73" s="116" t="str">
        <f t="shared" si="130"/>
        <v xml:space="preserve">
Crew &amp;               High     0        Crew          Bridge     1</v>
      </c>
      <c r="V73" s="116" t="str">
        <f t="shared" si="131"/>
        <v>Crew &amp;</v>
      </c>
      <c r="W73" s="116" t="str">
        <f xml:space="preserve"> REPT(" ",MAX(0,15-LEN(V73)))</f>
        <v xml:space="preserve">         </v>
      </c>
      <c r="X73" s="117" t="str">
        <f xml:space="preserve"> REPT(" ",MAX(0,10-LEN(Y73)))</f>
        <v xml:space="preserve">      </v>
      </c>
      <c r="Y73" s="117" t="str">
        <f xml:space="preserve"> IF( C73&lt;&gt; 0,C73, "" )</f>
        <v>High</v>
      </c>
      <c r="Z73" s="117" t="str">
        <f xml:space="preserve"> REPT(" ",MAX(0,6-LEN(AA73)))</f>
        <v xml:space="preserve">     </v>
      </c>
      <c r="AA73" s="117">
        <f>D73</f>
        <v>0</v>
      </c>
      <c r="AB73" s="117" t="str">
        <f xml:space="preserve"> REPT(" ",MAX(0,12-LEN(AC73)))</f>
        <v xml:space="preserve">        </v>
      </c>
      <c r="AC73" s="117" t="s">
        <v>68</v>
      </c>
      <c r="AD73" s="117" t="str">
        <f xml:space="preserve"> REPT(" ",MAX(0,16-LEN(AE73)))</f>
        <v xml:space="preserve">          </v>
      </c>
      <c r="AE73" s="117" t="str">
        <f>J73</f>
        <v>Bridge</v>
      </c>
      <c r="AF73" s="116" t="str">
        <f xml:space="preserve"> REPT(" ",MAX(0,6-LEN(AG73)))</f>
        <v xml:space="preserve">     </v>
      </c>
      <c r="AG73" s="117">
        <f xml:space="preserve"> IFERROR(ROUND( K73, 0), K73 )</f>
        <v>1</v>
      </c>
      <c r="AH73" s="112" t="str">
        <f>""</f>
        <v/>
      </c>
      <c r="BK73" s="132"/>
      <c r="BS73" s="132"/>
      <c r="CN73" s="132"/>
    </row>
    <row r="74" spans="1:92" s="112" customFormat="1" ht="10" customHeight="1">
      <c r="A74" s="23" t="s">
        <v>22</v>
      </c>
      <c r="C74" s="28" t="s">
        <v>299</v>
      </c>
      <c r="D74" s="21">
        <v>0</v>
      </c>
      <c r="E74" s="38"/>
      <c r="F74" s="38"/>
      <c r="G74" s="38"/>
      <c r="H74" s="38"/>
      <c r="I74" s="38"/>
      <c r="J74" s="28" t="s">
        <v>401</v>
      </c>
      <c r="K74" s="113">
        <f xml:space="preserve"> ROUNDUP( IF(Hull&gt;=200, IFERROR(SUM( K15:K23 ),0), 0 ),0)</f>
        <v>0</v>
      </c>
      <c r="L74" s="38"/>
      <c r="M74" s="38"/>
      <c r="N74" s="38"/>
      <c r="S74" s="116" t="str">
        <f xml:space="preserve"> CONCATENATE(  "[tr]",  "[td]","[b]",A74,"[/b]","[/td]", "[td]",B74,"[/td]", "[td]",C74,"[/td]", "[td]",D74,"[/td]", "[td]",E74,"[/td]", "[td]",G74,"[/td]", "[td]",H74,"[/td]", "[td]",J74,"[/td]", "[td]",K74,"[/td]",   "[/tr]" )</f>
        <v>[tr][td][b]Passengers[/b][/td][td][/td][td]Mid[/td][td]0[/td][td][/td][td][/td][td][/td][td]Engineers[/td][td]0[/td][/tr]</v>
      </c>
      <c r="T74" s="116" t="str">
        <f t="shared" si="128"/>
        <v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Empty hardpoint                             1         1          
Nominal Cost        MCr 49,15            Sum:        36      49,2
Class Cost          MCr 10,32           Valid        ≥0        ≥0
Ship Cost           MCr 39,32                                    
Crew &amp;               High     0        Crew          Bridge     1
Passengers            Mid     0           1       Engineers     0</v>
      </c>
      <c r="U74" s="116" t="str">
        <f t="shared" si="130"/>
        <v xml:space="preserve">
Passengers            Mid     0           1       Engineers     0</v>
      </c>
      <c r="V74" s="116" t="str">
        <f t="shared" si="131"/>
        <v>Passengers</v>
      </c>
      <c r="W74" s="116" t="str">
        <f t="shared" ref="W74:W78" si="137" xml:space="preserve"> REPT(" ",MAX(0,15-LEN(V74)))</f>
        <v xml:space="preserve">     </v>
      </c>
      <c r="X74" s="117" t="str">
        <f t="shared" ref="X74:X78" si="138" xml:space="preserve"> REPT(" ",MAX(0,10-LEN(Y74)))</f>
        <v xml:space="preserve">       </v>
      </c>
      <c r="Y74" s="117" t="str">
        <f t="shared" ref="Y74:Y78" si="139" xml:space="preserve"> IF( C74&lt;&gt; 0,C74, "" )</f>
        <v>Mid</v>
      </c>
      <c r="Z74" s="117" t="str">
        <f t="shared" ref="Z74:Z78" si="140" xml:space="preserve"> REPT(" ",MAX(0,6-LEN(AA74)))</f>
        <v xml:space="preserve">     </v>
      </c>
      <c r="AA74" s="117">
        <f t="shared" ref="AA74:AA78" si="141">D74</f>
        <v>0</v>
      </c>
      <c r="AB74" s="117" t="str">
        <f t="shared" ref="AB74:AB78" si="142" xml:space="preserve"> REPT(" ",MAX(0,12-LEN(AC74)))</f>
        <v xml:space="preserve">           </v>
      </c>
      <c r="AC74" s="117">
        <f xml:space="preserve"> IFERROR( Crew, 0 )</f>
        <v>1</v>
      </c>
      <c r="AD74" s="117" t="str">
        <f t="shared" ref="AD74:AD78" si="143" xml:space="preserve"> REPT(" ",MAX(0,16-LEN(AE74)))</f>
        <v xml:space="preserve">       </v>
      </c>
      <c r="AE74" s="117" t="str">
        <f t="shared" ref="AE74:AE78" si="144">J74</f>
        <v>Engineers</v>
      </c>
      <c r="AF74" s="116" t="str">
        <f t="shared" ref="AF74:AF78" si="145" xml:space="preserve"> REPT(" ",MAX(0,6-LEN(AG74)))</f>
        <v xml:space="preserve">     </v>
      </c>
      <c r="AG74" s="117">
        <f t="shared" ref="AG74:AG78" si="146" xml:space="preserve"> IFERROR(ROUND( K74, 0), K74 )</f>
        <v>0</v>
      </c>
      <c r="AH74" s="112" t="str">
        <f>""</f>
        <v/>
      </c>
      <c r="BK74" s="132"/>
      <c r="BS74" s="132"/>
      <c r="CN74" s="132"/>
    </row>
    <row r="75" spans="1:92" s="112" customFormat="1" ht="10" customHeight="1">
      <c r="C75" s="28" t="s">
        <v>254</v>
      </c>
      <c r="D75" s="21">
        <v>0</v>
      </c>
      <c r="E75" s="38"/>
      <c r="F75" s="38"/>
      <c r="G75" s="38"/>
      <c r="H75" s="38"/>
      <c r="I75" s="38"/>
      <c r="J75" s="28" t="s">
        <v>206</v>
      </c>
      <c r="K75" s="113">
        <f xml:space="preserve"> MAX( 0, ROUNDUP( AI75, 0 ) + (COUNTIF( BD25:BJ25, "&gt;0" ) + 1*(AI75&gt;0))*(Tonnage&gt;1000)*(LBB&lt;=0) - 1*(Tonnage&lt;100) + 1*(IF(ISERROR(SUM(BS$35:BS54)),0,SUM(BS$35:BS54))&gt;0) )</f>
        <v>0</v>
      </c>
      <c r="L75" s="38"/>
      <c r="M75" s="38"/>
      <c r="N75" s="38"/>
      <c r="S75" s="116" t="str">
        <f t="shared" ref="S75:S78" si="147" xml:space="preserve"> CONCATENATE(  "[tr]",  "[td]",A75,"[/td]", "[td]",B75,"[/td]", "[td]",C75,"[/td]", "[td]",D75,"[/td]", "[td]",E75,"[/td]", "[td]",G75,"[/td]", "[td]",H75,"[/td]", "[td]",J75,"[/td]", "[td]",K75,"[/td]",   "[/tr]" )</f>
        <v>[tr][td][/td][td][/td][td]Low[/td][td]0[/td][td][/td][td][/td][td][/td][td]Gunners[/td][td]0[/td][/tr]</v>
      </c>
      <c r="T75" s="116" t="str">
        <f t="shared" si="128"/>
        <v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Empty hardpoint                             1         1          
Nominal Cost        MCr 49,15            Sum:        36      49,2
Class Cost          MCr 10,32           Valid        ≥0        ≥0
Ship Cost           MCr 39,32                                    
Crew &amp;               High     0        Crew          Bridge     1
Passengers            Mid     0           1       Engineers     0
                      Low     0                     Gunners     0</v>
      </c>
      <c r="U75" s="116" t="str">
        <f t="shared" si="130"/>
        <v xml:space="preserve">
                      Low     0                     Gunners     0</v>
      </c>
      <c r="V75" s="116" t="str">
        <f t="shared" si="131"/>
        <v/>
      </c>
      <c r="W75" s="116" t="str">
        <f t="shared" si="137"/>
        <v xml:space="preserve">               </v>
      </c>
      <c r="X75" s="117" t="str">
        <f t="shared" si="138"/>
        <v xml:space="preserve">       </v>
      </c>
      <c r="Y75" s="117" t="str">
        <f t="shared" si="139"/>
        <v>Low</v>
      </c>
      <c r="Z75" s="117" t="str">
        <f xml:space="preserve"> REPT(" ",MAX(0,6-LEN(AA75)))</f>
        <v xml:space="preserve">     </v>
      </c>
      <c r="AA75" s="117">
        <f t="shared" si="141"/>
        <v>0</v>
      </c>
      <c r="AB75" s="117" t="str">
        <f t="shared" si="142"/>
        <v xml:space="preserve">            </v>
      </c>
      <c r="AC75" s="117"/>
      <c r="AD75" s="117" t="str">
        <f t="shared" si="143"/>
        <v xml:space="preserve">         </v>
      </c>
      <c r="AE75" s="117" t="str">
        <f t="shared" si="144"/>
        <v>Gunners</v>
      </c>
      <c r="AF75" s="116" t="str">
        <f t="shared" si="145"/>
        <v xml:space="preserve">     </v>
      </c>
      <c r="AG75" s="117">
        <f t="shared" si="146"/>
        <v>0</v>
      </c>
      <c r="AH75" s="112" t="str">
        <f>""</f>
        <v/>
      </c>
      <c r="AI75" s="112">
        <f xml:space="preserve"> IF( ISERROR(SUM(K34:K59)), 0, SUM(K34:K59) )</f>
        <v>0</v>
      </c>
      <c r="AJ75" s="112">
        <f xml:space="preserve"> IF( ISERROR(SUM(K59:K67)), 0, SUM(K59:K67) )</f>
        <v>0</v>
      </c>
      <c r="BK75" s="132"/>
      <c r="BS75" s="132"/>
      <c r="CN75" s="132"/>
    </row>
    <row r="76" spans="1:92" s="112" customFormat="1" ht="10" customHeight="1">
      <c r="C76" s="28" t="s">
        <v>142</v>
      </c>
      <c r="D76" s="21">
        <v>0</v>
      </c>
      <c r="E76" s="38"/>
      <c r="F76" s="38"/>
      <c r="G76" s="38"/>
      <c r="H76" s="38"/>
      <c r="I76" s="38"/>
      <c r="J76" s="28" t="s">
        <v>398</v>
      </c>
      <c r="K76" s="113">
        <f xml:space="preserve"> ROUNDUP(  IF(   AND(Tonnage&gt;1000,LBB&lt;=0),   Tonnage/1000*(3-1*(K78&gt;0)),   1*(Hull&gt;=200)  ) + IF( SUM(D73:D75)&gt;30, SUM(D73:D75), 0 )/120 + D73/8*(Hull&gt;=100), 0 )</f>
        <v>0</v>
      </c>
      <c r="L76" s="38"/>
      <c r="M76" s="38"/>
      <c r="N76" s="38"/>
      <c r="S76" s="116" t="str">
        <f t="shared" si="147"/>
        <v>[tr][td][/td][td][/td][td]Extra Staterooms[/td][td]0[/td][td][/td][td][/td][td][/td][td]Service[/td][td]0[/td][/tr]</v>
      </c>
      <c r="T76" s="116" t="str">
        <f t="shared" si="128"/>
        <v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Empty hardpoint                             1         1          
Nominal Cost        MCr 49,15            Sum:        36      49,2
Class Cost          MCr 10,32           Valid        ≥0        ≥0
Ship Cost           MCr 39,32                                    
Crew &amp;               High     0        Crew          Bridge     1
Passengers            Mid     0           1       Engineers     0
                      Low     0                     Gunners     0
                 Extra SR     0      Frozen         Service     0</v>
      </c>
      <c r="U76" s="116" t="str">
        <f t="shared" si="130"/>
        <v xml:space="preserve">
                 Extra SR     0      Frozen         Service     0</v>
      </c>
      <c r="V76" s="116" t="str">
        <f t="shared" si="131"/>
        <v/>
      </c>
      <c r="W76" s="116" t="str">
        <f t="shared" si="137"/>
        <v xml:space="preserve">               </v>
      </c>
      <c r="X76" s="117" t="str">
        <f t="shared" si="138"/>
        <v xml:space="preserve">  </v>
      </c>
      <c r="Y76" s="117" t="s">
        <v>410</v>
      </c>
      <c r="Z76" s="117" t="str">
        <f t="shared" si="140"/>
        <v xml:space="preserve">     </v>
      </c>
      <c r="AA76" s="117">
        <f t="shared" si="141"/>
        <v>0</v>
      </c>
      <c r="AB76" s="117" t="str">
        <f t="shared" si="142"/>
        <v xml:space="preserve">      </v>
      </c>
      <c r="AC76" s="117" t="s">
        <v>69</v>
      </c>
      <c r="AD76" s="117" t="str">
        <f t="shared" si="143"/>
        <v xml:space="preserve">         </v>
      </c>
      <c r="AE76" s="117" t="str">
        <f t="shared" si="144"/>
        <v>Service</v>
      </c>
      <c r="AF76" s="116" t="str">
        <f t="shared" si="145"/>
        <v xml:space="preserve">     </v>
      </c>
      <c r="AG76" s="117">
        <f t="shared" si="146"/>
        <v>0</v>
      </c>
      <c r="AH76" s="112" t="str">
        <f>""</f>
        <v/>
      </c>
      <c r="BK76" s="132"/>
      <c r="BS76" s="132"/>
      <c r="CN76" s="132"/>
    </row>
    <row r="77" spans="1:92" s="112" customFormat="1" ht="10" customHeight="1">
      <c r="C77" s="28" t="s">
        <v>141</v>
      </c>
      <c r="D77" s="21">
        <v>0</v>
      </c>
      <c r="E77" s="38"/>
      <c r="F77" s="38"/>
      <c r="G77" s="28" t="s">
        <v>176</v>
      </c>
      <c r="H77" s="113">
        <f xml:space="preserve"> ROUNDUP( D77, 0 )  *  ROUNDUP(  Crew/ROUNDUP(Tonnage/1000,0),0)</f>
        <v>0</v>
      </c>
      <c r="I77" s="38"/>
      <c r="J77" s="28" t="s">
        <v>400</v>
      </c>
      <c r="K77" s="113">
        <f xml:space="preserve"> IF(  AJ75&gt;=10,  ROUNDUP( AJ75, 0 ) + 1*(AJ75&gt;0)*(Tonnage&gt;1000),  0  )</f>
        <v>0</v>
      </c>
      <c r="L77" s="38"/>
      <c r="M77" s="38"/>
      <c r="N77" s="38"/>
      <c r="S77" s="116" t="str">
        <f t="shared" si="147"/>
        <v>[tr][td][/td][td][/td][td]# Frozen Watches[/td][td]0[/td][td][/td][td]Frozen Watch[/td][td]0[/td][td]Flight[/td][td]0[/td][/tr]</v>
      </c>
      <c r="T77" s="116" t="str">
        <f t="shared" si="128"/>
        <v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Empty hardpoint                             1         1          
Nominal Cost        MCr 49,15            Sum:        36      49,2
Class Cost          MCr 10,32           Valid        ≥0        ≥0
Ship Cost           MCr 39,32                                    
Crew &amp;               High     0        Crew          Bridge     1
Passengers            Mid     0           1       Engineers     0
                      Low     0                     Gunners     0
                 Extra SR     0      Frozen         Service     0
               # Frozen W     0           0          Flight     0</v>
      </c>
      <c r="U77" s="116" t="str">
        <f t="shared" si="130"/>
        <v xml:space="preserve">
               # Frozen W     0           0          Flight     0</v>
      </c>
      <c r="V77" s="116" t="str">
        <f t="shared" si="131"/>
        <v/>
      </c>
      <c r="W77" s="116" t="str">
        <f t="shared" si="137"/>
        <v xml:space="preserve">               </v>
      </c>
      <c r="X77" s="117" t="str">
        <f t="shared" si="138"/>
        <v/>
      </c>
      <c r="Y77" s="117" t="s">
        <v>15</v>
      </c>
      <c r="Z77" s="117" t="str">
        <f t="shared" si="140"/>
        <v xml:space="preserve">     </v>
      </c>
      <c r="AA77" s="117">
        <f t="shared" si="141"/>
        <v>0</v>
      </c>
      <c r="AB77" s="117" t="str">
        <f t="shared" si="142"/>
        <v xml:space="preserve">           </v>
      </c>
      <c r="AC77" s="117">
        <f>Frozen</f>
        <v>0</v>
      </c>
      <c r="AD77" s="117" t="str">
        <f t="shared" si="143"/>
        <v xml:space="preserve">          </v>
      </c>
      <c r="AE77" s="117" t="str">
        <f t="shared" si="144"/>
        <v>Flight</v>
      </c>
      <c r="AF77" s="116" t="str">
        <f t="shared" si="145"/>
        <v xml:space="preserve">     </v>
      </c>
      <c r="AG77" s="117">
        <f t="shared" si="146"/>
        <v>0</v>
      </c>
      <c r="AH77" s="112" t="str">
        <f>""</f>
        <v/>
      </c>
      <c r="BK77" s="132"/>
      <c r="BS77" s="132"/>
      <c r="CN77" s="132"/>
    </row>
    <row r="78" spans="1:92" s="112" customFormat="1" ht="10" customHeight="1">
      <c r="C78" s="28" t="s">
        <v>180</v>
      </c>
      <c r="D78" s="21">
        <v>0</v>
      </c>
      <c r="E78" s="38"/>
      <c r="F78" s="38"/>
      <c r="G78" s="28"/>
      <c r="H78" s="113"/>
      <c r="I78" s="38"/>
      <c r="J78" s="28" t="s">
        <v>399</v>
      </c>
      <c r="K78" s="113">
        <f xml:space="preserve"> ROUNDUP(D78,0)</f>
        <v>0</v>
      </c>
      <c r="L78" s="38"/>
      <c r="M78" s="38"/>
      <c r="N78" s="38"/>
      <c r="S78" s="116" t="str">
        <f t="shared" si="147"/>
        <v>[tr][td][/td][td][/td][td]Marines[/td][td]0[/td][td][/td][td][/td][td][/td][td]Marines[/td][td]0[/td][/tr]</v>
      </c>
      <c r="T78" s="116" t="str">
        <f t="shared" si="128"/>
        <v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Empty hardpoint                             1         1          
Nominal Cost        MCr 49,15            Sum:        36      49,2
Class Cost          MCr 10,32           Valid        ≥0        ≥0
Ship Cost           MCr 39,32                                    
Crew &amp;               High     0        Crew          Bridge     1
Passengers            Mid     0           1       Engineers     0
                      Low     0                     Gunners     0
                 Extra SR     0      Frozen         Service     0
               # Frozen W     0           0          Flight     0
                  Marines     0                     Marines     0</v>
      </c>
      <c r="U78" s="116" t="str">
        <f t="shared" si="130"/>
        <v xml:space="preserve">
                  Marines     0                     Marines     0</v>
      </c>
      <c r="V78" s="116" t="str">
        <f t="shared" si="131"/>
        <v/>
      </c>
      <c r="W78" s="116" t="str">
        <f t="shared" si="137"/>
        <v xml:space="preserve">               </v>
      </c>
      <c r="X78" s="117" t="str">
        <f t="shared" si="138"/>
        <v xml:space="preserve">   </v>
      </c>
      <c r="Y78" s="117" t="str">
        <f t="shared" si="139"/>
        <v>Marines</v>
      </c>
      <c r="Z78" s="117" t="str">
        <f t="shared" si="140"/>
        <v xml:space="preserve">     </v>
      </c>
      <c r="AA78" s="117">
        <f t="shared" si="141"/>
        <v>0</v>
      </c>
      <c r="AB78" s="117" t="str">
        <f t="shared" si="142"/>
        <v xml:space="preserve">            </v>
      </c>
      <c r="AC78" s="117"/>
      <c r="AD78" s="117" t="str">
        <f t="shared" si="143"/>
        <v xml:space="preserve">         </v>
      </c>
      <c r="AE78" s="117" t="str">
        <f t="shared" si="144"/>
        <v>Marines</v>
      </c>
      <c r="AF78" s="116" t="str">
        <f t="shared" si="145"/>
        <v xml:space="preserve">     </v>
      </c>
      <c r="AG78" s="117">
        <f t="shared" si="146"/>
        <v>0</v>
      </c>
      <c r="AH78" s="112" t="str">
        <f>""</f>
        <v/>
      </c>
      <c r="BK78" s="132"/>
      <c r="BS78" s="132"/>
      <c r="CN78" s="132"/>
    </row>
    <row r="79" spans="1:92" s="112" customFormat="1" ht="10" customHeight="1">
      <c r="S79" s="116"/>
      <c r="T79" s="116" t="str">
        <f t="shared" si="128"/>
        <v xml:space="preserve"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Empty hardpoint                             1         1          
Nominal Cost        MCr 49,15            Sum:        36      49,2
Class Cost          MCr 10,32           Valid        ≥0        ≥0
Ship Cost           MCr 39,32                                    
Crew &amp;               High     0        Crew          Bridge     1
Passengers            Mid     0           1       Engineers     0
                      Low     0                     Gunners     0
                 Extra SR     0      Frozen         Service     0
               # Frozen W     0           0          Flight     0
                  Marines     0                     Marines     0
                                                                 </v>
      </c>
      <c r="U79" s="116" t="str">
        <f t="shared" si="130"/>
        <v xml:space="preserve">
                                                                 </v>
      </c>
      <c r="V79" s="116" t="str">
        <f t="shared" si="131"/>
        <v/>
      </c>
      <c r="W79" s="116" t="str">
        <f t="shared" si="132"/>
        <v xml:space="preserve">                    </v>
      </c>
      <c r="X79" s="117" t="str">
        <f t="shared" ref="X79:X84" si="148" xml:space="preserve"> IF( B79&lt;&gt;0, B79, "" )</f>
        <v/>
      </c>
      <c r="Y79" s="116" t="str">
        <f t="shared" si="133"/>
        <v xml:space="preserve">               </v>
      </c>
      <c r="Z79" s="117" t="str">
        <f t="shared" si="134"/>
        <v xml:space="preserve">     </v>
      </c>
      <c r="AA79" s="117" t="str">
        <f t="shared" ref="AA79:AA94" si="149" xml:space="preserve"> IF( F79&lt;&gt;0, F79, "" )</f>
        <v/>
      </c>
      <c r="AB79" s="117" t="str">
        <f t="shared" ref="AB79:AB94" si="150" xml:space="preserve"> REPT(" ",MAX(0,5-LEN(AC79)))</f>
        <v xml:space="preserve">     </v>
      </c>
      <c r="AC79" s="117" t="str">
        <f t="shared" ref="AC79:AC94" si="151" xml:space="preserve"> IF( C79&lt;&gt;0, C79, "" )</f>
        <v/>
      </c>
      <c r="AD79" s="117" t="str">
        <f t="shared" si="135"/>
        <v xml:space="preserve">          </v>
      </c>
      <c r="AE79" s="117" t="str">
        <f t="shared" ref="AE79:AE94" si="152" xml:space="preserve"> IF( G79&lt;&gt;0, IFERROR(ROUND( G79, 1),G79), "" )</f>
        <v/>
      </c>
      <c r="AF79" s="116" t="str">
        <f t="shared" si="136"/>
        <v xml:space="preserve">          </v>
      </c>
      <c r="AG79" s="117" t="str">
        <f t="shared" ref="AG79:AG96" si="153" xml:space="preserve"> IF( H79&lt;&gt;0, IFERROR(ROUND( H79, 1),H79), "" )</f>
        <v/>
      </c>
      <c r="AH79" s="112" t="str">
        <f>""</f>
        <v/>
      </c>
      <c r="BK79" s="132"/>
      <c r="BS79" s="132"/>
      <c r="CN79" s="132"/>
    </row>
    <row r="80" spans="1:92" ht="10" customHeight="1">
      <c r="S80" s="116" t="str">
        <f t="shared" ref="S80" si="154" xml:space="preserve"> CONCATENATE(  "[tr]",  "[td]",A80,"[/td]", "[td]",B80,"[/td]", "[td]",C80,"[/td]", "[td]",D80,"[/td]", "[td]",E80,"[/td]", "[td]",F80,"[/td]", "[td]",G80,"[/td]", "[td]",H80,"[/td]", "[td]",I80,"[/td]",   "[/tr]" )</f>
        <v>[tr][td][/td][td][/td][td][/td][td][/td][td][/td][td][/td][td][/td][td][/td][td][/td][/tr]</v>
      </c>
      <c r="T80" s="116" t="str">
        <f t="shared" si="128"/>
        <v xml:space="preserve"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Empty hardpoint                             1         1          
Nominal Cost        MCr 49,15            Sum:        36      49,2
Class Cost          MCr 10,32           Valid        ≥0        ≥0
Ship Cost           MCr 39,32                                    
Crew &amp;               High     0        Crew          Bridge     1
Passengers            Mid     0           1       Engineers     0
                      Low     0                     Gunners     0
                 Extra SR     0      Frozen         Service     0
               # Frozen W     0           0          Flight     0
                  Marines     0                     Marines     0
                                                                 </v>
      </c>
      <c r="U80" s="116" t="str">
        <f t="shared" si="130"/>
        <v xml:space="preserve">
                                                                 </v>
      </c>
      <c r="V80" s="116" t="str">
        <f t="shared" si="131"/>
        <v/>
      </c>
      <c r="W80" s="116" t="str">
        <f t="shared" si="132"/>
        <v xml:space="preserve">                    </v>
      </c>
      <c r="X80" s="117" t="str">
        <f t="shared" si="148"/>
        <v/>
      </c>
      <c r="Y80" s="116" t="str">
        <f t="shared" si="133"/>
        <v xml:space="preserve">               </v>
      </c>
      <c r="Z80" s="117" t="str">
        <f t="shared" si="134"/>
        <v xml:space="preserve">     </v>
      </c>
      <c r="AA80" s="117" t="str">
        <f t="shared" si="149"/>
        <v/>
      </c>
      <c r="AB80" s="117" t="str">
        <f t="shared" si="150"/>
        <v xml:space="preserve">     </v>
      </c>
      <c r="AC80" s="117" t="str">
        <f t="shared" si="151"/>
        <v/>
      </c>
      <c r="AD80" s="117" t="str">
        <f t="shared" si="135"/>
        <v xml:space="preserve">          </v>
      </c>
      <c r="AE80" s="117" t="str">
        <f t="shared" si="152"/>
        <v/>
      </c>
      <c r="AF80" s="116" t="str">
        <f t="shared" si="136"/>
        <v xml:space="preserve">          </v>
      </c>
      <c r="AG80" s="117" t="str">
        <f t="shared" si="153"/>
        <v/>
      </c>
      <c r="AH80" s="112" t="str">
        <f>""</f>
        <v/>
      </c>
    </row>
    <row r="81" spans="1:83" ht="10" customHeight="1">
      <c r="A81" s="23" t="s">
        <v>430</v>
      </c>
      <c r="D81" s="21" t="s">
        <v>284</v>
      </c>
      <c r="S81" s="116" t="str">
        <f xml:space="preserve"> CONCATENATE(  "[tr]",  "[td]","[b]",A81,"[/b]","[/td]", "[td]",B81,"[/td]", "[td]",C81,"[/td]", "[td]",D81,"[/td]", "[td]",E81,"[/td]", "[td]",F81,"[/td]", "[td]",G81,"[/td]", "[td]",H81,"[/td]", "[td]",I81,"[/td]",   "[/tr]" )</f>
        <v>[tr][td][b]Estimated Economy of Ship[/b][/td][td][/td][td][/td][td]Custom[/td][td][/td][td][/td][td][/td][td][/td][td][/td][/tr]</v>
      </c>
      <c r="T81" s="116" t="str">
        <f t="shared" si="128"/>
        <v xml:space="preserve"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Empty hardpoint                             1         1          
Nominal Cost        MCr 49,15            Sum:        36      49,2
Class Cost          MCr 10,32           Valid        ≥0        ≥0
Ship Cost           MCr 39,32                                    
Crew &amp;               High     0        Crew          Bridge     1
Passengers            Mid     0           1       Engineers     0
                      Low     0                     Gunners     0
                 Extra SR     0      Frozen         Service     0
               # Frozen W     0           0          Flight     0
                  Marines     0                     Marines     0
Estimated Economy of Ship     Custom                                       </v>
      </c>
      <c r="U81" s="116" t="str">
        <f t="shared" si="130"/>
        <v xml:space="preserve">
Estimated Economy of Ship     Custom                                       </v>
      </c>
      <c r="V81" s="116" t="str">
        <f t="shared" si="131"/>
        <v>Estimated Economy of Ship</v>
      </c>
      <c r="W81" s="116" t="str">
        <f xml:space="preserve"> REPT(" ",MAX(0,30-LEN(V81)))</f>
        <v xml:space="preserve">     </v>
      </c>
      <c r="X81" s="117" t="str">
        <f>D81</f>
        <v>Custom</v>
      </c>
      <c r="Y81" s="116" t="str">
        <f t="shared" si="133"/>
        <v xml:space="preserve">         </v>
      </c>
      <c r="Z81" s="117" t="str">
        <f t="shared" si="134"/>
        <v xml:space="preserve">     </v>
      </c>
      <c r="AA81" s="117" t="str">
        <f t="shared" si="149"/>
        <v/>
      </c>
      <c r="AB81" s="117" t="str">
        <f t="shared" si="150"/>
        <v xml:space="preserve">     </v>
      </c>
      <c r="AC81" s="117" t="str">
        <f t="shared" si="151"/>
        <v/>
      </c>
      <c r="AD81" s="117" t="str">
        <f t="shared" si="135"/>
        <v xml:space="preserve">          </v>
      </c>
      <c r="AE81" s="117" t="str">
        <f t="shared" si="152"/>
        <v/>
      </c>
      <c r="AF81" s="116" t="str">
        <f t="shared" si="136"/>
        <v xml:space="preserve">          </v>
      </c>
      <c r="AG81" s="117" t="str">
        <f t="shared" si="153"/>
        <v/>
      </c>
      <c r="AH81" s="112" t="str">
        <f>""</f>
        <v/>
      </c>
    </row>
    <row r="82" spans="1:83" ht="10" customHeight="1">
      <c r="A82" s="90" t="s">
        <v>436</v>
      </c>
      <c r="B82" s="90"/>
      <c r="C82" s="90"/>
      <c r="D82" s="91" t="s">
        <v>253</v>
      </c>
      <c r="E82" s="91"/>
      <c r="F82" s="91"/>
      <c r="G82" s="91" t="s">
        <v>244</v>
      </c>
      <c r="H82" s="50"/>
      <c r="I82" s="91" t="s">
        <v>245</v>
      </c>
      <c r="S82" s="116" t="str">
        <f t="shared" ref="S82:S94" si="155" xml:space="preserve"> CONCATENATE(  "[tr]",  "[td]",A82,"[/td]", "[td]",B82,"[/td]", "[td]",C82,"[/td]", "[td]",D82,"[/td]", "[td]",E82,"[/td]", "[td]",F82,"[/td]", "[td]",G82,"[/td]", "[td]",H82,"[/td]", "[td]",I82,"[/td]",   "[/tr]" )</f>
        <v>[tr][td]Ship price[/td][td][/td][td][/td][td]Down Payment[/td][td][/td][td][/td][td]Monthly Mortgage[/td][td][/td][td]Avg Filled Capacity[/td][/tr]</v>
      </c>
      <c r="T82" s="116" t="str">
        <f t="shared" si="128"/>
        <v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Empty hardpoint                             1         1          
Nominal Cost        MCr 49,15            Sum:        36      49,2
Class Cost          MCr 10,32           Valid        ≥0        ≥0
Ship Cost           MCr 39,32                                    
Crew &amp;               High     0        Crew          Bridge     1
Passengers            Mid     0           1       Engineers     0
                      Low     0                     Gunners     0
                 Extra SR     0      Frozen         Service     0
               # Frozen W     0           0          Flight     0
                  Marines     0                     Marines     0
Estimated Economy of Ship     Custom                                       
       Ship price     Down Payment         Mortgage       Avg Filled</v>
      </c>
      <c r="U82" s="116" t="str">
        <f t="shared" si="130"/>
        <v xml:space="preserve">
       Ship price     Down Payment         Mortgage       Avg Filled</v>
      </c>
      <c r="V82" s="117" t="str">
        <f xml:space="preserve"> REPT(" ",MAX(0,17-LEN(W82)))</f>
        <v xml:space="preserve">       </v>
      </c>
      <c r="W82" s="122" t="str">
        <f>A82</f>
        <v>Ship price</v>
      </c>
      <c r="X82" s="117" t="str">
        <f xml:space="preserve"> REPT(" ",MAX(0,17-LEN(Y82)))</f>
        <v xml:space="preserve">     </v>
      </c>
      <c r="Y82" s="124" t="str">
        <f>D82</f>
        <v>Down Payment</v>
      </c>
      <c r="Z82" s="117" t="str">
        <f xml:space="preserve"> REPT(" ",MAX(0,17-LEN(AA82)))</f>
        <v xml:space="preserve">         </v>
      </c>
      <c r="AA82" s="125" t="s">
        <v>183</v>
      </c>
      <c r="AB82" s="117" t="str">
        <f xml:space="preserve"> REPT(" ",MAX(0,17-LEN(AC82)))</f>
        <v xml:space="preserve">       </v>
      </c>
      <c r="AC82" s="125" t="s">
        <v>182</v>
      </c>
      <c r="AG82" s="117"/>
      <c r="AH82" s="112" t="str">
        <f>""</f>
        <v/>
      </c>
    </row>
    <row r="83" spans="1:83" ht="10" customHeight="1">
      <c r="A83" s="92">
        <f xml:space="preserve"> IF( D81=Tables!$A$341, $B$70, $B$68 )</f>
        <v>49.150000000000006</v>
      </c>
      <c r="B83" s="69"/>
      <c r="C83" s="90" t="s">
        <v>235</v>
      </c>
      <c r="D83" s="20">
        <f xml:space="preserve"> A83 * 1000 * ( 0.2 + 0.01*(D81&lt;&gt;Tables!$A$341) )</f>
        <v>10321.500000000002</v>
      </c>
      <c r="E83" s="20"/>
      <c r="F83" s="90" t="s">
        <v>251</v>
      </c>
      <c r="G83" s="20">
        <f>A83/240*1000</f>
        <v>204.79166666666669</v>
      </c>
      <c r="H83" s="50"/>
      <c r="I83" s="93">
        <v>0.8</v>
      </c>
      <c r="S83" s="116" t="str">
        <f xml:space="preserve"> CONCATENATE(  "[tr]",  "[td]",ROUND(A83,1),"[/td]", "[td]",B83,"[/td]", "[td]",C83,"[/td]", "[td]",ROUND(D83,1),"[/td]", "[td]",E83,"[/td]", "[td]",F83,"[/td]", "[td]",ROUND(G83,1),"[/td]", "[td]",H83,"[/td]", "[td]",ROUND(I83*100,0),"%","[/td]",   "[/tr]" )</f>
        <v>[tr][td]49,2[/td][td][/td][td]kCr[/td][td]10321,5[/td][td][/td][td]kCr[/td][td]204,8[/td][td][/td][td]80%[/td][/tr]</v>
      </c>
      <c r="T83" s="116" t="str">
        <f t="shared" si="128"/>
        <v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Empty hardpoint                             1         1          
Nominal Cost        MCr 49,15            Sum:        36      49,2
Class Cost          MCr 10,32           Valid        ≥0        ≥0
Ship Cost           MCr 39,32                                    
Crew &amp;               High     0        Crew          Bridge     1
Passengers            Mid     0           1       Engineers     0
                      Low     0                     Gunners     0
                 Extra SR     0      Frozen         Service     0
               # Frozen W     0           0          Flight     0
                  Marines     0                     Marines     0
Estimated Economy of Ship     Custom                                       
       Ship price     Down Payment         Mortgage       Avg Filled
        MCr 49,15       kCr 10 322          kCr 205              80%</v>
      </c>
      <c r="U83" s="116" t="str">
        <f t="shared" si="130"/>
        <v xml:space="preserve">
        MCr 49,15       kCr 10 322          kCr 205              80%</v>
      </c>
      <c r="V83" s="117" t="str">
        <f xml:space="preserve"> REPT(" ",MAX(0,17-LEN(W83)))</f>
        <v xml:space="preserve">        </v>
      </c>
      <c r="W83" s="123" t="str">
        <f xml:space="preserve"> CONCATENATE( "MCr " &amp; AL83 )</f>
        <v>MCr 49,15</v>
      </c>
      <c r="X83" s="117" t="str">
        <f xml:space="preserve"> REPT(" ",MAX(0,17-LEN(Y83)))</f>
        <v xml:space="preserve">       </v>
      </c>
      <c r="Y83" s="123" t="str">
        <f xml:space="preserve"> CONCATENATE( "kCr " &amp; AM83 )</f>
        <v>kCr 10 322</v>
      </c>
      <c r="Z83" s="117" t="str">
        <f xml:space="preserve"> REPT(" ",MAX(0,17-LEN(AA83)))</f>
        <v xml:space="preserve">          </v>
      </c>
      <c r="AA83" s="123" t="str">
        <f xml:space="preserve"> CONCATENATE( "kCr " &amp; AN83 )</f>
        <v>kCr 205</v>
      </c>
      <c r="AB83" s="117" t="str">
        <f xml:space="preserve"> REPT(" ",MAX(0,17-LEN(AC83)))</f>
        <v xml:space="preserve">              </v>
      </c>
      <c r="AC83" s="126" t="str">
        <f xml:space="preserve"> TEXT( I83, "0%" )</f>
        <v>80%</v>
      </c>
      <c r="AG83" s="117"/>
      <c r="AH83" s="16" t="str">
        <f>""</f>
        <v/>
      </c>
      <c r="AL83" s="115" t="str">
        <f xml:space="preserve"> TEXT( A83, IF(A83&lt;1000,"0,00",IF(A83&lt;1000000,"# ##0,00","# ### ##0,00")) )</f>
        <v>49,15</v>
      </c>
      <c r="AM83" s="115" t="str">
        <f xml:space="preserve"> TEXT( D83, IF(D83&lt;1000,"0",IF(D83&lt;1000000,"# ##0","# ### ##0")) )</f>
        <v>10 322</v>
      </c>
      <c r="AN83" s="115" t="str">
        <f xml:space="preserve"> TEXT( G83, IF(G83&lt;1000,"0",IF(G83&lt;1000000,"# ##0","# ### ##0")) )</f>
        <v>205</v>
      </c>
      <c r="AO83" s="115"/>
    </row>
    <row r="84" spans="1:83" ht="10" customHeight="1">
      <c r="A84" s="69"/>
      <c r="B84" s="69"/>
      <c r="C84" s="69"/>
      <c r="S84" s="116" t="str">
        <f t="shared" si="155"/>
        <v>[tr][td][/td][td][/td][td][/td][td][/td][td][/td][td][/td][td][/td][td][/td][td][/td][/tr]</v>
      </c>
      <c r="T84" s="116" t="str">
        <f t="shared" si="128"/>
        <v xml:space="preserve"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Empty hardpoint                             1         1          
Nominal Cost        MCr 49,15            Sum:        36      49,2
Class Cost          MCr 10,32           Valid        ≥0        ≥0
Ship Cost           MCr 39,32                                    
Crew &amp;               High     0        Crew          Bridge     1
Passengers            Mid     0           1       Engineers     0
                      Low     0                     Gunners     0
                 Extra SR     0      Frozen         Service     0
               # Frozen W     0           0          Flight     0
                  Marines     0                     Marines     0
Estimated Economy of Ship     Custom                                       
       Ship price     Down Payment         Mortgage       Avg Filled
        MCr 49,15       kCr 10 322          kCr 205              80%
                                                                 </v>
      </c>
      <c r="U84" s="116" t="str">
        <f t="shared" si="130"/>
        <v xml:space="preserve">
                                                                 </v>
      </c>
      <c r="V84" s="116" t="str">
        <f t="shared" si="131"/>
        <v/>
      </c>
      <c r="W84" s="116" t="str">
        <f t="shared" si="132"/>
        <v xml:space="preserve">                    </v>
      </c>
      <c r="X84" s="117" t="str">
        <f t="shared" si="148"/>
        <v/>
      </c>
      <c r="Y84" s="116" t="str">
        <f t="shared" si="133"/>
        <v xml:space="preserve">               </v>
      </c>
      <c r="Z84" s="117" t="str">
        <f t="shared" si="134"/>
        <v xml:space="preserve">     </v>
      </c>
      <c r="AA84" s="117" t="str">
        <f t="shared" si="149"/>
        <v/>
      </c>
      <c r="AB84" s="117" t="str">
        <f t="shared" si="150"/>
        <v xml:space="preserve">     </v>
      </c>
      <c r="AC84" s="117" t="str">
        <f t="shared" si="151"/>
        <v/>
      </c>
      <c r="AD84" s="117" t="str">
        <f t="shared" si="135"/>
        <v xml:space="preserve">          </v>
      </c>
      <c r="AE84" s="117" t="str">
        <f t="shared" si="152"/>
        <v/>
      </c>
      <c r="AF84" s="116" t="str">
        <f t="shared" si="136"/>
        <v xml:space="preserve">          </v>
      </c>
      <c r="AG84" s="117" t="str">
        <f t="shared" si="153"/>
        <v/>
      </c>
      <c r="AH84" s="16" t="str">
        <f>""</f>
        <v/>
      </c>
      <c r="AN84" s="115"/>
      <c r="BU84" s="16"/>
      <c r="BV84" s="110"/>
      <c r="BW84" s="16"/>
      <c r="CE84" s="110"/>
    </row>
    <row r="85" spans="1:83" ht="10" customHeight="1">
      <c r="A85" s="16" t="s">
        <v>29</v>
      </c>
      <c r="G85" s="16" t="s">
        <v>351</v>
      </c>
      <c r="S85" s="116" t="str">
        <f t="shared" si="155"/>
        <v>[tr][td]Expenses per jump[/td][td][/td][td][/td][td][/td][td][/td][td][/td][td]Revenue[/td][td][/td][td][/td][/tr]</v>
      </c>
      <c r="T85" s="116" t="str">
        <f t="shared" si="128"/>
        <v xml:space="preserve"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Empty hardpoint                             1         1          
Nominal Cost        MCr 49,15            Sum:        36      49,2
Class Cost          MCr 10,32           Valid        ≥0        ≥0
Ship Cost           MCr 39,32                                    
Crew &amp;               High     0        Crew          Bridge     1
Passengers            Mid     0           1       Engineers     0
                      Low     0                     Gunners     0
                 Extra SR     0      Frozen         Service     0
               # Frozen W     0           0          Flight     0
                  Marines     0                     Marines     0
Estimated Economy of Ship     Custom                                       
       Ship price     Down Payment         Mortgage       Avg Filled
        MCr 49,15       kCr 10 322          kCr 205              80%
Expenses per jump                       Revenue                  </v>
      </c>
      <c r="U85" s="116" t="str">
        <f t="shared" si="130"/>
        <v xml:space="preserve">
Expenses per jump                       Revenue                  </v>
      </c>
      <c r="V85" s="116" t="str">
        <f t="shared" si="131"/>
        <v>Expenses per jump</v>
      </c>
      <c r="W85" s="116" t="str">
        <f xml:space="preserve"> REPT(" ",MAX(0,20-LEN(V85)))</f>
        <v xml:space="preserve">   </v>
      </c>
      <c r="X85" s="117" t="str">
        <f xml:space="preserve"> REPT(" ",MAX(0,10-LEN(Y85)))</f>
        <v xml:space="preserve">          </v>
      </c>
      <c r="Z85" s="117" t="str">
        <f xml:space="preserve"> REPT(" ",MAX(0,10))</f>
        <v xml:space="preserve">          </v>
      </c>
      <c r="AA85" s="116" t="str">
        <f xml:space="preserve"> T( G85 )</f>
        <v>Revenue</v>
      </c>
      <c r="AB85" s="116" t="str">
        <f xml:space="preserve"> REPT(" ",MAX(0,10-LEN(AA85)))</f>
        <v xml:space="preserve">   </v>
      </c>
      <c r="AC85" s="117" t="str">
        <f xml:space="preserve"> REPT(" ",MAX(0,15-LEN(AD85)))</f>
        <v xml:space="preserve">     </v>
      </c>
      <c r="AD85" s="117" t="str">
        <f t="shared" si="135"/>
        <v xml:space="preserve">          </v>
      </c>
      <c r="AG85" s="117"/>
      <c r="AH85" s="16" t="str">
        <f>""</f>
        <v/>
      </c>
      <c r="AM85" s="115">
        <f xml:space="preserve"> MAX( AM86:AM91 )</f>
        <v>6</v>
      </c>
      <c r="AN85" s="115"/>
      <c r="AP85" s="115">
        <f xml:space="preserve"> MAX( AP86:AP91 )</f>
        <v>6</v>
      </c>
      <c r="BU85" s="16"/>
      <c r="BV85" s="110"/>
      <c r="BW85" s="16"/>
      <c r="CE85" s="110"/>
    </row>
    <row r="86" spans="1:83" ht="10" customHeight="1">
      <c r="A86" s="16" t="s">
        <v>411</v>
      </c>
      <c r="C86" s="90" t="s">
        <v>207</v>
      </c>
      <c r="D86" s="38">
        <f>G83*1000*12/25</f>
        <v>98300</v>
      </c>
      <c r="E86" s="38"/>
      <c r="F86" s="38"/>
      <c r="G86" s="38" t="s">
        <v>429</v>
      </c>
      <c r="H86" s="34">
        <f>High*(Jump&gt;0)*10000 * I83</f>
        <v>0</v>
      </c>
      <c r="I86" s="20"/>
      <c r="J86" s="20"/>
      <c r="S86" s="116" t="str">
        <f t="shared" ref="S86:S91" si="156" xml:space="preserve"> CONCATENATE(  "[tr]",  "[td]",A86,"[/td]", "[td]",B86,"[/td]", "[td]",C86,"[/td]", "[td]",ROUND(D86,0),"[/td]", "[td]",E86,"[/td]", "[td]",F86,"[/td]", "[td]",G86,"[/td]", "[td]",H86,"[/td]", "[td]",I86,"[/td]",   "[/tr]" )</f>
        <v>[tr][td]Bank[/td][td][/td][td]Cr[/td][td]98300[/td][td][/td][td][/td][td]High[/td][td]0[/td][td][/td][/tr]</v>
      </c>
      <c r="T86" s="116" t="str">
        <f t="shared" si="128"/>
        <v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Empty hardpoint                             1         1          
Nominal Cost        MCr 49,15            Sum:        36      49,2
Class Cost          MCr 10,32           Valid        ≥0        ≥0
Ship Cost           MCr 39,32                                    
Crew &amp;               High     0        Crew          Bridge     1
Passengers            Mid     0           1       Engineers     0
                      Low     0                     Gunners     0
                 Extra SR     0      Frozen         Service     0
               # Frozen W     0           0          Flight     0
                  Marines     0                     Marines     0
Estimated Economy of Ship     Custom                                       
       Ship price     Down Payment         Mortgage       Avg Filled
        MCr 49,15       kCr 10 322          kCr 205              80%
Expenses per jump                       Revenue                  
Bank                 Cr 98 300          High            Cr      0</v>
      </c>
      <c r="U86" s="116" t="str">
        <f t="shared" si="130"/>
        <v xml:space="preserve">
Bank                 Cr 98 300          High            Cr      0</v>
      </c>
      <c r="V86" s="116" t="str">
        <f t="shared" si="131"/>
        <v>Bank</v>
      </c>
      <c r="W86" s="116" t="str">
        <f t="shared" ref="W86:W93" si="157" xml:space="preserve"> REPT(" ",MAX(0,15-LEN(V86)))</f>
        <v xml:space="preserve">           </v>
      </c>
      <c r="X86" s="117" t="str">
        <f t="shared" ref="X86:X94" si="158" xml:space="preserve"> REPT(" ",MAX(0,15-LEN(Y86)))</f>
        <v xml:space="preserve">      </v>
      </c>
      <c r="Y86" s="117" t="str">
        <f xml:space="preserve"> CONCATENATE( C86, REPT(" ",AM$85-AM86+1), AL86 )</f>
        <v>Cr 98 300</v>
      </c>
      <c r="Z86" s="117" t="str">
        <f t="shared" ref="Z86:Z93" si="159" xml:space="preserve"> REPT(" ",MAX(0,10))</f>
        <v xml:space="preserve">          </v>
      </c>
      <c r="AA86" s="116" t="str">
        <f xml:space="preserve"> T( G86 )</f>
        <v>High</v>
      </c>
      <c r="AB86" s="116" t="str">
        <f t="shared" ref="AB86:AB93" si="160" xml:space="preserve"> REPT(" ",MAX(0,10-LEN(AA86)))</f>
        <v xml:space="preserve">      </v>
      </c>
      <c r="AC86" s="117" t="str">
        <f t="shared" ref="AC86:AC93" si="161" xml:space="preserve"> REPT(" ",MAX(0,15-LEN(AD86)))</f>
        <v xml:space="preserve">      </v>
      </c>
      <c r="AD86" s="117" t="str">
        <f>CONCATENATE( C86, REPT(" ",AP$85-AP86+1), AO86 )</f>
        <v>Cr      0</v>
      </c>
      <c r="AG86" s="117"/>
      <c r="AH86" s="16" t="str">
        <f>""</f>
        <v/>
      </c>
      <c r="AL86" s="16" t="str">
        <f xml:space="preserve"> TEXT( D86, IF(D86&lt;1000,"0",IF(D86&lt;1000000,"# ##0","# ### ##0")) )</f>
        <v>98 300</v>
      </c>
      <c r="AM86" s="115">
        <f xml:space="preserve"> LEN( AL86 )</f>
        <v>6</v>
      </c>
      <c r="AN86" s="115"/>
      <c r="AO86" s="115" t="str">
        <f xml:space="preserve"> TEXT( H86, IF(H86&lt;1000,"0",IF(H86&lt;1000000,"# ##0","# ### ##0")) )</f>
        <v>0</v>
      </c>
      <c r="AP86" s="115">
        <f xml:space="preserve"> LEN( AO86 )</f>
        <v>1</v>
      </c>
      <c r="BU86" s="16"/>
      <c r="BV86" s="110"/>
      <c r="BW86" s="16"/>
      <c r="CE86" s="110"/>
    </row>
    <row r="87" spans="1:83" ht="10" customHeight="1">
      <c r="A87" s="16" t="s">
        <v>412</v>
      </c>
      <c r="C87" s="90" t="s">
        <v>362</v>
      </c>
      <c r="D87" s="38">
        <f xml:space="preserve"> (G21+B13+IFERROR(G32,0))*(100+400*(G22=0))</f>
        <v>2200</v>
      </c>
      <c r="E87" s="38"/>
      <c r="F87" s="38"/>
      <c r="G87" s="38" t="s">
        <v>258</v>
      </c>
      <c r="H87" s="34">
        <f xml:space="preserve"> Mid*(Jump&gt;0)*8000 * I83</f>
        <v>0</v>
      </c>
      <c r="I87" s="20"/>
      <c r="J87" s="20"/>
      <c r="S87" s="116" t="str">
        <f t="shared" si="156"/>
        <v>[tr][td]Fuel[/td][td][/td][td]Cr[/td][td]2200[/td][td][/td][td][/td][td]Middle[/td][td]0[/td][td][/td][/tr]</v>
      </c>
      <c r="T87" s="116" t="str">
        <f t="shared" si="128"/>
        <v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Empty hardpoint                             1         1          
Nominal Cost        MCr 49,15            Sum:        36      49,2
Class Cost          MCr 10,32           Valid        ≥0        ≥0
Ship Cost           MCr 39,32                                    
Crew &amp;               High     0        Crew          Bridge     1
Passengers            Mid     0           1       Engineers     0
                      Low     0                     Gunners     0
                 Extra SR     0      Frozen         Service     0
               # Frozen W     0           0          Flight     0
                  Marines     0                     Marines     0
Estimated Economy of Ship     Custom                                       
       Ship price     Down Payment         Mortgage       Avg Filled
        MCr 49,15       kCr 10 322          kCr 205              80%
Expenses per jump                       Revenue                  
Bank                 Cr 98 300          High            Cr      0
Fuel                 Cr  2 200          Middle          Cr      0</v>
      </c>
      <c r="U87" s="116" t="str">
        <f t="shared" si="130"/>
        <v xml:space="preserve">
Fuel                 Cr  2 200          Middle          Cr      0</v>
      </c>
      <c r="V87" s="116" t="str">
        <f t="shared" si="131"/>
        <v>Fuel</v>
      </c>
      <c r="W87" s="116" t="str">
        <f t="shared" si="157"/>
        <v xml:space="preserve">           </v>
      </c>
      <c r="X87" s="117" t="str">
        <f t="shared" si="158"/>
        <v xml:space="preserve">      </v>
      </c>
      <c r="Y87" s="117" t="str">
        <f t="shared" ref="Y87:Y93" si="162" xml:space="preserve"> CONCATENATE( C87, REPT(" ",AM$85-AM87+1), AL87 )</f>
        <v>Cr  2 200</v>
      </c>
      <c r="Z87" s="117" t="str">
        <f t="shared" si="159"/>
        <v xml:space="preserve">          </v>
      </c>
      <c r="AA87" s="116" t="str">
        <f t="shared" ref="AA87:AA91" si="163" xml:space="preserve"> T( G87 )</f>
        <v>Middle</v>
      </c>
      <c r="AB87" s="116" t="str">
        <f t="shared" si="160"/>
        <v xml:space="preserve">    </v>
      </c>
      <c r="AC87" s="117" t="str">
        <f t="shared" si="161"/>
        <v xml:space="preserve">      </v>
      </c>
      <c r="AD87" s="117" t="str">
        <f t="shared" ref="AD87:AD89" si="164">CONCATENATE( C87, REPT(" ",AP$85-AP87+1), AO87 )</f>
        <v>Cr      0</v>
      </c>
      <c r="AG87" s="117"/>
      <c r="AH87" s="16" t="str">
        <f>""</f>
        <v/>
      </c>
      <c r="AL87" s="115" t="str">
        <f t="shared" ref="AL87:AL93" si="165" xml:space="preserve"> TEXT( D87, IF(D87&lt;1000,"0",IF(D87&lt;1000000,"# ##0","# ### ##0")) )</f>
        <v>2 200</v>
      </c>
      <c r="AM87" s="115">
        <f t="shared" ref="AM87:AM93" si="166" xml:space="preserve"> LEN( AL87 )</f>
        <v>5</v>
      </c>
      <c r="AN87" s="115"/>
      <c r="AO87" s="115" t="str">
        <f t="shared" ref="AO87:AO89" si="167" xml:space="preserve"> TEXT( H87, IF(H87&lt;1000,"0",IF(H87&lt;1000000,"# ##0","# ### ##0")) )</f>
        <v>0</v>
      </c>
      <c r="AP87" s="115">
        <f t="shared" ref="AP87:AP89" si="168" xml:space="preserve"> LEN( AO87 )</f>
        <v>1</v>
      </c>
      <c r="BU87" s="16"/>
      <c r="BV87" s="110"/>
      <c r="BW87" s="16"/>
      <c r="CE87" s="110"/>
    </row>
    <row r="88" spans="1:83" ht="10" customHeight="1">
      <c r="A88" s="16" t="s">
        <v>259</v>
      </c>
      <c r="C88" s="90" t="s">
        <v>92</v>
      </c>
      <c r="D88" s="38">
        <f xml:space="preserve"> C27*2000 + C28*1000 + C29*100 - ( High + Mid ) * 2000 * ( 1-I83 )</f>
        <v>2000</v>
      </c>
      <c r="E88" s="38"/>
      <c r="F88" s="38"/>
      <c r="G88" s="38" t="s">
        <v>392</v>
      </c>
      <c r="H88" s="38">
        <f xml:space="preserve"> Low*(Jump&gt;0)*1000 * I83</f>
        <v>0</v>
      </c>
      <c r="S88" s="116" t="str">
        <f t="shared" si="156"/>
        <v>[tr][td]Life Support[/td][td][/td][td]Cr[/td][td]2000[/td][td][/td][td][/td][td]Low[/td][td]0[/td][td][/td][/tr]</v>
      </c>
      <c r="T88" s="116" t="str">
        <f t="shared" si="128"/>
        <v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Empty hardpoint                             1         1          
Nominal Cost        MCr 49,15            Sum:        36      49,2
Class Cost          MCr 10,32           Valid        ≥0        ≥0
Ship Cost           MCr 39,32                                    
Crew &amp;               High     0        Crew          Bridge     1
Passengers            Mid     0           1       Engineers     0
                      Low     0                     Gunners     0
                 Extra SR     0      Frozen         Service     0
               # Frozen W     0           0          Flight     0
                  Marines     0                     Marines     0
Estimated Economy of Ship     Custom                                       
       Ship price     Down Payment         Mortgage       Avg Filled
        MCr 49,15       kCr 10 322          kCr 205              80%
Expenses per jump                       Revenue                  
Bank                 Cr 98 300          High            Cr      0
Fuel                 Cr  2 200          Middle          Cr      0
Life Support         Cr  2 000          Low             Cr      0</v>
      </c>
      <c r="U88" s="116" t="str">
        <f t="shared" si="130"/>
        <v xml:space="preserve">
Life Support         Cr  2 000          Low             Cr      0</v>
      </c>
      <c r="V88" s="116" t="str">
        <f t="shared" si="131"/>
        <v>Life Support</v>
      </c>
      <c r="W88" s="116" t="str">
        <f t="shared" si="157"/>
        <v xml:space="preserve">   </v>
      </c>
      <c r="X88" s="117" t="str">
        <f t="shared" si="158"/>
        <v xml:space="preserve">      </v>
      </c>
      <c r="Y88" s="117" t="str">
        <f t="shared" si="162"/>
        <v>Cr  2 000</v>
      </c>
      <c r="Z88" s="117" t="str">
        <f t="shared" si="159"/>
        <v xml:space="preserve">          </v>
      </c>
      <c r="AA88" s="116" t="str">
        <f t="shared" si="163"/>
        <v>Low</v>
      </c>
      <c r="AB88" s="116" t="str">
        <f t="shared" si="160"/>
        <v xml:space="preserve">       </v>
      </c>
      <c r="AC88" s="117" t="str">
        <f t="shared" si="161"/>
        <v xml:space="preserve">      </v>
      </c>
      <c r="AD88" s="117" t="str">
        <f t="shared" si="164"/>
        <v>Cr      0</v>
      </c>
      <c r="AG88" s="117"/>
      <c r="AH88" s="16" t="str">
        <f>""</f>
        <v/>
      </c>
      <c r="AL88" s="115" t="str">
        <f t="shared" si="165"/>
        <v>2 000</v>
      </c>
      <c r="AM88" s="115">
        <f t="shared" si="166"/>
        <v>5</v>
      </c>
      <c r="AN88" s="115"/>
      <c r="AO88" s="115" t="str">
        <f t="shared" si="167"/>
        <v>0</v>
      </c>
      <c r="AP88" s="115">
        <f t="shared" si="168"/>
        <v>1</v>
      </c>
      <c r="BU88" s="16"/>
      <c r="BV88" s="110"/>
      <c r="BW88" s="16"/>
      <c r="CE88" s="110"/>
    </row>
    <row r="89" spans="1:83" ht="10" customHeight="1">
      <c r="A89" s="16" t="s">
        <v>409</v>
      </c>
      <c r="C89" s="90" t="s">
        <v>366</v>
      </c>
      <c r="D89" s="38">
        <f>MAX( Crew*3, K73*5+K74*4+K75*2+K77*4+K76*3+Marines*2 )*12/25*1000</f>
        <v>2400</v>
      </c>
      <c r="E89" s="38"/>
      <c r="F89" s="38"/>
      <c r="G89" s="38" t="s">
        <v>48</v>
      </c>
      <c r="H89" s="38">
        <f>INT(IFERROR(Cargo,0)/5)*5*(Jump&gt;0)*1000 * I83</f>
        <v>28000</v>
      </c>
      <c r="S89" s="116" t="str">
        <f t="shared" si="156"/>
        <v>[tr][td]Salaries[/td][td][/td][td]Cr[/td][td]2400[/td][td][/td][td][/td][td]Cargo[/td][td]28000[/td][td][/td][/tr]</v>
      </c>
      <c r="T89" s="116" t="str">
        <f t="shared" si="128"/>
        <v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Empty hardpoint                             1         1          
Nominal Cost        MCr 49,15            Sum:        36      49,2
Class Cost          MCr 10,32           Valid        ≥0        ≥0
Ship Cost           MCr 39,32                                    
Crew &amp;               High     0        Crew          Bridge     1
Passengers            Mid     0           1       Engineers     0
                      Low     0                     Gunners     0
                 Extra SR     0      Frozen         Service     0
               # Frozen W     0           0          Flight     0
                  Marines     0                     Marines     0
Estimated Economy of Ship     Custom                                       
       Ship price     Down Payment         Mortgage       Avg Filled
        MCr 49,15       kCr 10 322          kCr 205              80%
Expenses per jump                       Revenue                  
Bank                 Cr 98 300          High            Cr      0
Fuel                 Cr  2 200          Middle          Cr      0
Life Support         Cr  2 000          Low             Cr      0
Salaries             Cr  2 400          Cargo           Cr 28 000</v>
      </c>
      <c r="U89" s="116" t="str">
        <f t="shared" si="130"/>
        <v xml:space="preserve">
Salaries             Cr  2 400          Cargo           Cr 28 000</v>
      </c>
      <c r="V89" s="116" t="str">
        <f t="shared" si="131"/>
        <v>Salaries</v>
      </c>
      <c r="W89" s="116" t="str">
        <f t="shared" si="157"/>
        <v xml:space="preserve">       </v>
      </c>
      <c r="X89" s="117" t="str">
        <f t="shared" si="158"/>
        <v xml:space="preserve">      </v>
      </c>
      <c r="Y89" s="117" t="str">
        <f t="shared" si="162"/>
        <v>Cr  2 400</v>
      </c>
      <c r="Z89" s="117" t="str">
        <f t="shared" si="159"/>
        <v xml:space="preserve">          </v>
      </c>
      <c r="AA89" s="116" t="str">
        <f t="shared" si="163"/>
        <v>Cargo</v>
      </c>
      <c r="AB89" s="116" t="str">
        <f t="shared" si="160"/>
        <v xml:space="preserve">     </v>
      </c>
      <c r="AC89" s="117" t="str">
        <f t="shared" si="161"/>
        <v xml:space="preserve">      </v>
      </c>
      <c r="AD89" s="117" t="str">
        <f t="shared" si="164"/>
        <v>Cr 28 000</v>
      </c>
      <c r="AG89" s="117"/>
      <c r="AH89" s="16" t="str">
        <f>""</f>
        <v/>
      </c>
      <c r="AL89" s="115" t="str">
        <f t="shared" si="165"/>
        <v>2 400</v>
      </c>
      <c r="AM89" s="115">
        <f t="shared" si="166"/>
        <v>5</v>
      </c>
      <c r="AN89" s="115"/>
      <c r="AO89" s="115" t="str">
        <f t="shared" si="167"/>
        <v>28 000</v>
      </c>
      <c r="AP89" s="115">
        <f t="shared" si="168"/>
        <v>6</v>
      </c>
      <c r="BU89" s="16"/>
      <c r="BV89" s="110"/>
      <c r="BW89" s="16"/>
      <c r="CE89" s="110"/>
    </row>
    <row r="90" spans="1:83" ht="10" customHeight="1">
      <c r="A90" s="16" t="s">
        <v>425</v>
      </c>
      <c r="C90" s="90" t="s">
        <v>190</v>
      </c>
      <c r="D90" s="38">
        <f>A83*0.001*1000000/25</f>
        <v>1966.0000000000002</v>
      </c>
      <c r="E90" s="38"/>
      <c r="F90" s="38"/>
      <c r="G90" s="38"/>
      <c r="H90" s="38"/>
      <c r="S90" s="116" t="str">
        <f t="shared" si="156"/>
        <v>[tr][td]Maintenance[/td][td][/td][td]Cr[/td][td]1966[/td][td][/td][td][/td][td][/td][td][/td][td][/td][/tr]</v>
      </c>
      <c r="T90" s="116" t="str">
        <f t="shared" si="128"/>
        <v xml:space="preserve"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Empty hardpoint                             1         1          
Nominal Cost        MCr 49,15            Sum:        36      49,2
Class Cost          MCr 10,32           Valid        ≥0        ≥0
Ship Cost           MCr 39,32                                    
Crew &amp;               High     0        Crew          Bridge     1
Passengers            Mid     0           1       Engineers     0
                      Low     0                     Gunners     0
                 Extra SR     0      Frozen         Service     0
               # Frozen W     0           0          Flight     0
                  Marines     0                     Marines     0
Estimated Economy of Ship     Custom                                       
       Ship price     Down Payment         Mortgage       Avg Filled
        MCr 49,15       kCr 10 322          kCr 205              80%
Expenses per jump                       Revenue                  
Bank                 Cr 98 300          High            Cr      0
Fuel                 Cr  2 200          Middle          Cr      0
Life Support         Cr  2 000          Low             Cr      0
Salaries             Cr  2 400          Cargo           Cr 28 000
Maintenance          Cr  1 966                                   </v>
      </c>
      <c r="U90" s="116" t="str">
        <f t="shared" si="130"/>
        <v xml:space="preserve">
Maintenance          Cr  1 966                                   </v>
      </c>
      <c r="V90" s="116" t="str">
        <f t="shared" si="131"/>
        <v>Maintenance</v>
      </c>
      <c r="W90" s="116" t="str">
        <f t="shared" si="157"/>
        <v xml:space="preserve">    </v>
      </c>
      <c r="X90" s="117" t="str">
        <f t="shared" si="158"/>
        <v xml:space="preserve">      </v>
      </c>
      <c r="Y90" s="117" t="str">
        <f t="shared" si="162"/>
        <v>Cr  1 966</v>
      </c>
      <c r="Z90" s="117" t="str">
        <f t="shared" si="159"/>
        <v xml:space="preserve">          </v>
      </c>
      <c r="AA90" s="116" t="str">
        <f t="shared" si="163"/>
        <v/>
      </c>
      <c r="AB90" s="116" t="str">
        <f t="shared" si="160"/>
        <v xml:space="preserve">          </v>
      </c>
      <c r="AC90" s="117" t="str">
        <f t="shared" si="161"/>
        <v xml:space="preserve">     </v>
      </c>
      <c r="AD90" s="117" t="str">
        <f t="shared" si="135"/>
        <v xml:space="preserve">          </v>
      </c>
      <c r="AG90" s="117"/>
      <c r="AH90" s="16" t="str">
        <f>""</f>
        <v/>
      </c>
      <c r="AL90" s="115" t="str">
        <f t="shared" si="165"/>
        <v>1 966</v>
      </c>
      <c r="AM90" s="115">
        <f t="shared" si="166"/>
        <v>5</v>
      </c>
      <c r="AN90" s="115"/>
      <c r="BU90" s="16"/>
      <c r="BV90" s="110"/>
      <c r="BW90" s="16"/>
      <c r="CE90" s="110"/>
    </row>
    <row r="91" spans="1:83" ht="10" customHeight="1">
      <c r="A91" s="16" t="s">
        <v>426</v>
      </c>
      <c r="C91" s="90" t="s">
        <v>190</v>
      </c>
      <c r="D91" s="38">
        <f>D8</f>
        <v>100</v>
      </c>
      <c r="E91" s="38"/>
      <c r="F91" s="38"/>
      <c r="G91" s="38"/>
      <c r="H91" s="38"/>
      <c r="S91" s="116" t="str">
        <f t="shared" si="156"/>
        <v>[tr][td]Berthing[/td][td][/td][td]Cr[/td][td]100[/td][td][/td][td][/td][td][/td][td][/td][td][/td][/tr]</v>
      </c>
      <c r="T91" s="116" t="str">
        <f t="shared" si="128"/>
        <v xml:space="preserve"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Empty hardpoint                             1         1          
Nominal Cost        MCr 49,15            Sum:        36      49,2
Class Cost          MCr 10,32           Valid        ≥0        ≥0
Ship Cost           MCr 39,32                                    
Crew &amp;               High     0        Crew          Bridge     1
Passengers            Mid     0           1       Engineers     0
                      Low     0                     Gunners     0
                 Extra SR     0      Frozen         Service     0
               # Frozen W     0           0          Flight     0
                  Marines     0                     Marines     0
Estimated Economy of Ship     Custom                                       
       Ship price     Down Payment         Mortgage       Avg Filled
        MCr 49,15       kCr 10 322          kCr 205              80%
Expenses per jump                       Revenue                  
Bank                 Cr 98 300          High            Cr      0
Fuel                 Cr  2 200          Middle          Cr      0
Life Support         Cr  2 000          Low             Cr      0
Salaries             Cr  2 400          Cargo           Cr 28 000
Maintenance          Cr  1 966                                   
Berthing             Cr    100                                   </v>
      </c>
      <c r="U91" s="116" t="str">
        <f t="shared" si="130"/>
        <v xml:space="preserve">
Berthing             Cr    100                                   </v>
      </c>
      <c r="V91" s="116" t="str">
        <f t="shared" si="131"/>
        <v>Berthing</v>
      </c>
      <c r="W91" s="116" t="str">
        <f t="shared" si="157"/>
        <v xml:space="preserve">       </v>
      </c>
      <c r="X91" s="117" t="str">
        <f t="shared" si="158"/>
        <v xml:space="preserve">      </v>
      </c>
      <c r="Y91" s="117" t="str">
        <f t="shared" si="162"/>
        <v>Cr    100</v>
      </c>
      <c r="Z91" s="117" t="str">
        <f t="shared" si="159"/>
        <v xml:space="preserve">          </v>
      </c>
      <c r="AA91" s="116" t="str">
        <f t="shared" si="163"/>
        <v/>
      </c>
      <c r="AB91" s="116" t="str">
        <f t="shared" si="160"/>
        <v xml:space="preserve">          </v>
      </c>
      <c r="AC91" s="117" t="str">
        <f t="shared" si="161"/>
        <v xml:space="preserve">     </v>
      </c>
      <c r="AD91" s="117" t="str">
        <f t="shared" si="135"/>
        <v xml:space="preserve">          </v>
      </c>
      <c r="AG91" s="117"/>
      <c r="AH91" s="16" t="str">
        <f>""</f>
        <v/>
      </c>
      <c r="AL91" s="115" t="str">
        <f t="shared" si="165"/>
        <v>100</v>
      </c>
      <c r="AM91" s="115">
        <f t="shared" si="166"/>
        <v>3</v>
      </c>
      <c r="AN91" s="115"/>
      <c r="BU91" s="16"/>
      <c r="BV91" s="110"/>
      <c r="BW91" s="16"/>
      <c r="CE91" s="110"/>
    </row>
    <row r="92" spans="1:83" ht="10" customHeight="1">
      <c r="D92" s="38"/>
      <c r="E92" s="38"/>
      <c r="F92" s="38"/>
      <c r="G92" s="38"/>
      <c r="H92" s="38"/>
      <c r="S92" s="116" t="str">
        <f t="shared" si="155"/>
        <v>[tr][td][/td][td][/td][td][/td][td][/td][td][/td][td][/td][td][/td][td][/td][td][/td][/tr]</v>
      </c>
      <c r="T92" s="116" t="str">
        <f t="shared" si="128"/>
        <v xml:space="preserve"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Empty hardpoint                             1         1          
Nominal Cost        MCr 49,15            Sum:        36      49,2
Class Cost          MCr 10,32           Valid        ≥0        ≥0
Ship Cost           MCr 39,32                                    
Crew &amp;               High     0        Crew          Bridge     1
Passengers            Mid     0           1       Engineers     0
                      Low     0                     Gunners     0
                 Extra SR     0      Frozen         Service     0
               # Frozen W     0           0          Flight     0
                  Marines     0                     Marines     0
Estimated Economy of Ship     Custom                                       
       Ship price     Down Payment         Mortgage       Avg Filled
        MCr 49,15       kCr 10 322          kCr 205              80%
Expenses per jump                       Revenue                  
Bank                 Cr 98 300          High            Cr      0
Fuel                 Cr  2 200          Middle          Cr      0
Life Support         Cr  2 000          Low             Cr      0
Salaries             Cr  2 400          Cargo           Cr 28 000
Maintenance          Cr  1 966                                   
Berthing             Cr    100                                   
                                                                 </v>
      </c>
      <c r="U92" s="116" t="str">
        <f t="shared" si="130"/>
        <v xml:space="preserve">
                                                                 </v>
      </c>
      <c r="V92" s="116" t="str">
        <f t="shared" si="131"/>
        <v/>
      </c>
      <c r="W92" s="116" t="str">
        <f t="shared" si="157"/>
        <v xml:space="preserve">               </v>
      </c>
      <c r="X92" s="117" t="str">
        <f t="shared" si="158"/>
        <v xml:space="preserve">               </v>
      </c>
      <c r="Y92" s="116"/>
      <c r="Z92" s="117" t="str">
        <f t="shared" si="159"/>
        <v xml:space="preserve">          </v>
      </c>
      <c r="AA92" s="117" t="str">
        <f t="shared" si="149"/>
        <v/>
      </c>
      <c r="AB92" s="116" t="str">
        <f t="shared" si="160"/>
        <v xml:space="preserve">          </v>
      </c>
      <c r="AC92" s="117" t="str">
        <f t="shared" si="161"/>
        <v xml:space="preserve">     </v>
      </c>
      <c r="AD92" s="117" t="str">
        <f t="shared" si="135"/>
        <v xml:space="preserve">          </v>
      </c>
      <c r="AG92" s="117"/>
      <c r="AH92" s="16" t="str">
        <f>""</f>
        <v/>
      </c>
      <c r="AN92" s="115"/>
      <c r="BU92" s="16"/>
      <c r="BV92" s="110"/>
      <c r="BW92" s="16"/>
      <c r="CE92" s="110"/>
    </row>
    <row r="93" spans="1:83" ht="10" customHeight="1">
      <c r="A93" s="16" t="s">
        <v>386</v>
      </c>
      <c r="C93" s="90" t="s">
        <v>260</v>
      </c>
      <c r="D93" s="38">
        <f>SUM(D86:D92)/1000</f>
        <v>106.96599999999999</v>
      </c>
      <c r="E93" s="38"/>
      <c r="F93" s="38"/>
      <c r="G93" s="90" t="s">
        <v>260</v>
      </c>
      <c r="H93" s="38">
        <f>SUM(H86:H92)/1000</f>
        <v>28</v>
      </c>
      <c r="S93" s="116" t="str">
        <f xml:space="preserve"> CONCATENATE(  "[tr]",  "[td]",A93,"[/td]", "[td]",B93,"[/td]", "[td]",C93,"[/td]", "[td]",ROUND(D93,0),"[/td]", "[td]",E93,"[/td]", "[td]",F93,"[/td]", "[td]",G93,"[/td]", "[td]",H93,"[/td]", "[td]",I93,"[/td]",   "[/tr]" )</f>
        <v>[tr][td]Summa[/td][td][/td][td]kCr[/td][td]107[/td][td][/td][td][/td][td]kCr[/td][td]28[/td][td][/td][/tr]</v>
      </c>
      <c r="T93" s="116" t="str">
        <f t="shared" si="128"/>
        <v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Empty hardpoint                             1         1          
Nominal Cost        MCr 49,15            Sum:        36      49,2
Class Cost          MCr 10,32           Valid        ≥0        ≥0
Ship Cost           MCr 39,32                                    
Crew &amp;               High     0        Crew          Bridge     1
Passengers            Mid     0           1       Engineers     0
                      Low     0                     Gunners     0
                 Extra SR     0      Frozen         Service     0
               # Frozen W     0           0          Flight     0
                  Marines     0                     Marines     0
Estimated Economy of Ship     Custom                                       
       Ship price     Down Payment         Mortgage       Avg Filled
        MCr 49,15       kCr 10 322          kCr 205              80%
Expenses per jump                       Revenue                  
Bank                 Cr 98 300          High            Cr      0
Fuel                 Cr  2 200          Middle          Cr      0
Life Support         Cr  2 000          Low             Cr      0
Salaries             Cr  2 400          Cargo           Cr 28 000
Maintenance          Cr  1 966                                   
Berthing             Cr    100                                   
Summa               kCr    107                         kCr     28</v>
      </c>
      <c r="U93" s="116" t="str">
        <f t="shared" si="130"/>
        <v xml:space="preserve">
Summa               kCr    107                         kCr     28</v>
      </c>
      <c r="V93" s="116" t="str">
        <f t="shared" si="131"/>
        <v>Summa</v>
      </c>
      <c r="W93" s="116" t="str">
        <f t="shared" si="157"/>
        <v xml:space="preserve">          </v>
      </c>
      <c r="X93" s="117" t="str">
        <f t="shared" si="158"/>
        <v xml:space="preserve">     </v>
      </c>
      <c r="Y93" s="117" t="str">
        <f t="shared" si="162"/>
        <v>kCr    107</v>
      </c>
      <c r="Z93" s="117" t="str">
        <f t="shared" si="159"/>
        <v xml:space="preserve">          </v>
      </c>
      <c r="AA93" s="117" t="str">
        <f t="shared" si="149"/>
        <v/>
      </c>
      <c r="AB93" s="116" t="str">
        <f t="shared" si="160"/>
        <v xml:space="preserve">          </v>
      </c>
      <c r="AC93" s="117" t="str">
        <f t="shared" si="161"/>
        <v xml:space="preserve">     </v>
      </c>
      <c r="AD93" s="117" t="str">
        <f>CONCATENATE( G93, REPT(" ",AP$85-AP93+1), AO93 )</f>
        <v>kCr     28</v>
      </c>
      <c r="AG93" s="117"/>
      <c r="AH93" s="16" t="str">
        <f>""</f>
        <v/>
      </c>
      <c r="AL93" s="115" t="str">
        <f t="shared" si="165"/>
        <v>107</v>
      </c>
      <c r="AM93" s="115">
        <f t="shared" si="166"/>
        <v>3</v>
      </c>
      <c r="AN93" s="115"/>
      <c r="AO93" s="115" t="str">
        <f t="shared" ref="AO93" si="169" xml:space="preserve"> TEXT( H93, IF(H93&lt;1000,"0",IF(H93&lt;1000000,"# ##0","# ### ##0")) )</f>
        <v>28</v>
      </c>
      <c r="AP93" s="115">
        <f t="shared" ref="AP93" si="170" xml:space="preserve"> LEN( AO93 )</f>
        <v>2</v>
      </c>
      <c r="BU93" s="16"/>
      <c r="BV93" s="110"/>
      <c r="BW93" s="16"/>
      <c r="CE93" s="110"/>
    </row>
    <row r="94" spans="1:83" ht="10" customHeight="1">
      <c r="S94" s="116" t="str">
        <f t="shared" si="155"/>
        <v>[tr][td][/td][td][/td][td][/td][td][/td][td][/td][td][/td][td][/td][td][/td][td][/td][/tr]</v>
      </c>
      <c r="T94" s="116" t="str">
        <f t="shared" si="128"/>
        <v xml:space="preserve"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Empty hardpoint                             1         1          
Nominal Cost        MCr 49,15            Sum:        36      49,2
Class Cost          MCr 10,32           Valid        ≥0        ≥0
Ship Cost           MCr 39,32                                    
Crew &amp;               High     0        Crew          Bridge     1
Passengers            Mid     0           1       Engineers     0
                      Low     0                     Gunners     0
                 Extra SR     0      Frozen         Service     0
               # Frozen W     0           0          Flight     0
                  Marines     0                     Marines     0
Estimated Economy of Ship     Custom                                       
       Ship price     Down Payment         Mortgage       Avg Filled
        MCr 49,15       kCr 10 322          kCr 205              80%
Expenses per jump                       Revenue                  
Bank                 Cr 98 300          High            Cr      0
Fuel                 Cr  2 200          Middle          Cr      0
Life Support         Cr  2 000          Low             Cr      0
Salaries             Cr  2 400          Cargo           Cr 28 000
Maintenance          Cr  1 966                                   
Berthing             Cr    100                                   
Summa               kCr    107                         kCr     28
                                                                 </v>
      </c>
      <c r="U94" s="116" t="str">
        <f t="shared" si="130"/>
        <v xml:space="preserve">
                                                                 </v>
      </c>
      <c r="V94" s="116" t="str">
        <f t="shared" si="131"/>
        <v/>
      </c>
      <c r="W94" s="116" t="str">
        <f t="shared" si="132"/>
        <v xml:space="preserve">                    </v>
      </c>
      <c r="X94" s="117" t="str">
        <f t="shared" si="158"/>
        <v xml:space="preserve">               </v>
      </c>
      <c r="Y94" s="116"/>
      <c r="Z94" s="117" t="str">
        <f t="shared" si="134"/>
        <v xml:space="preserve">     </v>
      </c>
      <c r="AA94" s="117" t="str">
        <f t="shared" si="149"/>
        <v/>
      </c>
      <c r="AB94" s="117" t="str">
        <f t="shared" si="150"/>
        <v xml:space="preserve">     </v>
      </c>
      <c r="AC94" s="117" t="str">
        <f t="shared" si="151"/>
        <v/>
      </c>
      <c r="AD94" s="117" t="str">
        <f t="shared" si="135"/>
        <v xml:space="preserve">          </v>
      </c>
      <c r="AE94" s="117" t="str">
        <f t="shared" si="152"/>
        <v/>
      </c>
      <c r="AF94" s="116" t="str">
        <f t="shared" si="136"/>
        <v xml:space="preserve">          </v>
      </c>
      <c r="AG94" s="117" t="str">
        <f t="shared" si="153"/>
        <v/>
      </c>
      <c r="AH94" s="16" t="str">
        <f>""</f>
        <v/>
      </c>
      <c r="AN94" s="115"/>
      <c r="BU94" s="16"/>
      <c r="BV94" s="110"/>
      <c r="BW94" s="16"/>
      <c r="CE94" s="110"/>
    </row>
    <row r="95" spans="1:83" ht="10" customHeight="1">
      <c r="F95" s="28" t="s">
        <v>415</v>
      </c>
      <c r="G95" s="94">
        <f>H93-D93</f>
        <v>-78.965999999999994</v>
      </c>
      <c r="S95" s="116" t="str">
        <f xml:space="preserve"> CONCATENATE(  "[tr]",  "[td]",A95,"[/td]", "[td]",B95,"[/td]", "[td]",C95,"[/td]", "[td]",D95,"[/td]", "[td]",E95,"[/td]", "[td]","Income","[/td]", "[td]","kCr ",ROUND(G95,0),"[/td]", "[td]",H95,"[/td]", "[td]",I95,"[/td]",   "[/tr]" )</f>
        <v>[tr][td][/td][td][/td][td][/td][td][/td][td][/td][td]Income[/td][td]kCr -79[/td][td][/td][td][/td][/tr]</v>
      </c>
      <c r="T95" s="116" t="str">
        <f t="shared" si="128"/>
        <v xml:space="preserve"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Empty hardpoint                             1         1          
Nominal Cost        MCr 49,15            Sum:        36      49,2
Class Cost          MCr 10,32           Valid        ≥0        ≥0
Ship Cost           MCr 39,32                                    
Crew &amp;               High     0        Crew          Bridge     1
Passengers            Mid     0           1       Engineers     0
                      Low     0                     Gunners     0
                 Extra SR     0      Frozen         Service     0
               # Frozen W     0           0          Flight     0
                  Marines     0                     Marines     0
Estimated Economy of Ship     Custom                                       
       Ship price     Down Payment         Mortgage       Avg Filled
        MCr 49,15       kCr 10 322          kCr 205              80%
Expenses per jump                       Revenue                  
Bank                 Cr 98 300          High            Cr      0
Fuel                 Cr  2 200          Middle          Cr      0
Life Support         Cr  2 000          Low             Cr      0
Salaries             Cr  2 400          Cargo           Cr 28 000
Maintenance          Cr  1 966                                   
Berthing             Cr    100                                   
Summa               kCr    107                         kCr     28
     Income potential per jump     kCr -79                    </v>
      </c>
      <c r="U95" s="116" t="str">
        <f t="shared" si="130"/>
        <v xml:space="preserve">
     Income potential per jump     kCr -79                    </v>
      </c>
      <c r="V95" s="116" t="str">
        <f t="shared" si="131"/>
        <v/>
      </c>
      <c r="W95" s="116" t="str">
        <f xml:space="preserve"> REPT(" ",MAX(0,0-LEN(V95)))</f>
        <v/>
      </c>
      <c r="X95" s="117" t="str">
        <f xml:space="preserve"> REPT(" ",MAX(0,30-LEN(Y95)))</f>
        <v xml:space="preserve">     </v>
      </c>
      <c r="Y95" s="117" t="str">
        <f xml:space="preserve"> IF( F95&lt;&gt;0, F95, "" )</f>
        <v>Income potential per jump</v>
      </c>
      <c r="Z95" s="117" t="str">
        <f t="shared" si="134"/>
        <v xml:space="preserve">  </v>
      </c>
      <c r="AA95" s="117" t="str">
        <f xml:space="preserve"> REPT(" ",MAX(0,10-LEN(AB95)))</f>
        <v xml:space="preserve">   </v>
      </c>
      <c r="AB95" s="117" t="str">
        <f xml:space="preserve"> CONCATENATE( "kCr ", AN95 )</f>
        <v>kCr -79</v>
      </c>
      <c r="AD95" s="117" t="str">
        <f t="shared" si="135"/>
        <v xml:space="preserve">          </v>
      </c>
      <c r="AF95" s="116" t="str">
        <f t="shared" si="136"/>
        <v xml:space="preserve">          </v>
      </c>
      <c r="AG95" s="117" t="str">
        <f t="shared" si="153"/>
        <v/>
      </c>
      <c r="AH95" s="16" t="str">
        <f>""</f>
        <v/>
      </c>
      <c r="AN95" s="115" t="str">
        <f xml:space="preserve"> TEXT( G95, IF(G95&lt;1000,"0",IF(G95&lt;1000000,"# ##0","# ### ##0")) )</f>
        <v>-79</v>
      </c>
    </row>
    <row r="96" spans="1:83" ht="10" customHeight="1">
      <c r="F96" s="50" t="s">
        <v>82</v>
      </c>
      <c r="G96" s="95">
        <f xml:space="preserve"> G95 * 25 / D83</f>
        <v>-0.19126580438889693</v>
      </c>
      <c r="S96" s="116" t="str">
        <f xml:space="preserve"> CONCATENATE(  "[tr]",  "[td]",A96,"[/td]", "[td]",B96,"[/td]", "[td]",C96,"[/td]", "[td]",D96,"[/td]", "[td]",E96,"[/td]", "[td]","Yield","[/td]", "[td]",ROUND( G96*100,1),"%","[/td]", "[td]",H96,"[/td]", "[td]",I96,"[/td]",   "[/tr]" )</f>
        <v>[tr][td][/td][td][/td][td][/td][td][/td][td][/td][td]Yield[/td][td]-19,1%[/td][td][/td][td][/td][/tr]</v>
      </c>
      <c r="T96" s="116" t="str">
        <f t="shared" si="128"/>
        <v xml:space="preserve"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Empty hardpoint                             1         1          
Nominal Cost        MCr 49,15            Sum:        36      49,2
Class Cost          MCr 10,32           Valid        ≥0        ≥0
Ship Cost           MCr 39,32                                    
Crew &amp;               High     0        Crew          Bridge     1
Passengers            Mid     0           1       Engineers     0
                      Low     0                     Gunners     0
                 Extra SR     0      Frozen         Service     0
               # Frozen W     0           0          Flight     0
                  Marines     0                     Marines     0
Estimated Economy of Ship     Custom                                       
       Ship price     Down Payment         Mortgage       Avg Filled
        MCr 49,15       kCr 10 322          kCr 205              80%
Expenses per jump                       Revenue                  
Bank                 Cr 98 300          High            Cr      0
Fuel                 Cr  2 200          Middle          Cr      0
Life Support         Cr  2 000          Low             Cr      0
Salaries             Cr  2 400          Cargo           Cr 28 000
Maintenance          Cr  1 966                                   
Berthing             Cr    100                                   
Summa               kCr    107                         kCr     28
     Income potential per jump     kCr -79                    
  Yearly yield on down payment     -19,1%                    </v>
      </c>
      <c r="U96" s="116" t="str">
        <f t="shared" si="130"/>
        <v xml:space="preserve">
  Yearly yield on down payment     -19,1%                    </v>
      </c>
      <c r="V96" s="116" t="str">
        <f t="shared" si="131"/>
        <v/>
      </c>
      <c r="W96" s="116" t="str">
        <f xml:space="preserve"> REPT(" ",MAX(0,0-LEN(V96)))</f>
        <v/>
      </c>
      <c r="X96" s="117" t="str">
        <f xml:space="preserve"> REPT(" ",MAX(0,30-LEN(Y96)))</f>
        <v xml:space="preserve">  </v>
      </c>
      <c r="Y96" s="117" t="str">
        <f xml:space="preserve"> IF( F96&lt;&gt;0, F96, "" )</f>
        <v>Yearly yield on down payment</v>
      </c>
      <c r="Z96" s="117" t="str">
        <f t="shared" si="134"/>
        <v xml:space="preserve"> </v>
      </c>
      <c r="AA96" s="117" t="str">
        <f xml:space="preserve"> REPT(" ",MAX(0,10-LEN(AB96)))</f>
        <v xml:space="preserve">    </v>
      </c>
      <c r="AB96" s="117" t="str">
        <f xml:space="preserve"> CONCATENATE( AN96 )</f>
        <v>-19,1%</v>
      </c>
      <c r="AD96" s="117" t="str">
        <f t="shared" si="135"/>
        <v xml:space="preserve">          </v>
      </c>
      <c r="AF96" s="116" t="str">
        <f t="shared" si="136"/>
        <v xml:space="preserve">          </v>
      </c>
      <c r="AG96" s="117" t="str">
        <f t="shared" si="153"/>
        <v/>
      </c>
      <c r="AH96" s="16" t="str">
        <f>""</f>
        <v/>
      </c>
      <c r="AN96" s="115" t="str">
        <f xml:space="preserve"> TEXT( G96, "0,0%" )</f>
        <v>-19,1%</v>
      </c>
    </row>
    <row r="97" spans="1:34" ht="10" customHeight="1">
      <c r="S97" s="116" t="str">
        <f xml:space="preserve"> CONCATENATE( "[/table]" )</f>
        <v>[/table]</v>
      </c>
      <c r="T97" s="116" t="str">
        <f t="shared" si="128"/>
        <v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Empty hardpoint                             1         1          
Nominal Cost        MCr 49,15            Sum:        36      49,2
Class Cost          MCr 10,32           Valid        ≥0        ≥0
Ship Cost           MCr 39,32                                    
Crew &amp;               High     0        Crew          Bridge     1
Passengers            Mid     0           1       Engineers     0
                      Low     0                     Gunners     0
                 Extra SR     0      Frozen         Service     0
               # Frozen W     0           0          Flight     0
                  Marines     0                     Marines     0
Estimated Economy of Ship     Custom                                       
       Ship price     Down Payment         Mortgage       Avg Filled
        MCr 49,15       kCr 10 322          kCr 205              80%
Expenses per jump                       Revenue                  
Bank                 Cr 98 300          High            Cr      0
Fuel                 Cr  2 200          Middle          Cr      0
Life Support         Cr  2 000          Low             Cr      0
Salaries             Cr  2 400          Cargo           Cr 28 000
Maintenance          Cr  1 966                                   
Berthing             Cr    100                                   
Summa               kCr    107                         kCr     28
     Income potential per jump     kCr -79                    
  Yearly yield on down payment     -19,1%                    [/code]</v>
      </c>
      <c r="U97" s="116" t="s">
        <v>181</v>
      </c>
      <c r="AH97" s="16" t="str">
        <f>""</f>
        <v/>
      </c>
    </row>
    <row r="99" spans="1:34" ht="10" customHeight="1">
      <c r="A99" s="23" t="s">
        <v>150</v>
      </c>
    </row>
    <row r="100" spans="1:34" ht="10" customHeight="1">
      <c r="A100" s="50" t="s">
        <v>324</v>
      </c>
      <c r="B100" s="96" t="str">
        <f xml:space="preserve"> T97</f>
        <v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Empty hardpoint                             1         1          
Nominal Cost        MCr 49,15            Sum:        36      49,2
Class Cost          MCr 10,32           Valid        ≥0        ≥0
Ship Cost           MCr 39,32                                    
Crew &amp;               High     0        Crew          Bridge     1
Passengers            Mid     0           1       Engineers     0
                      Low     0                     Gunners     0
                 Extra SR     0      Frozen         Service     0
               # Frozen W     0           0          Flight     0
                  Marines     0                     Marines     0
Estimated Economy of Ship     Custom                                       
       Ship price     Down Payment         Mortgage       Avg Filled
        MCr 49,15       kCr 10 322          kCr 205              80%
Expenses per jump                       Revenue                  
Bank                 Cr 98 300          High            Cr      0
Fuel                 Cr  2 200          Middle          Cr      0
Life Support         Cr  2 000          Low             Cr      0
Salaries             Cr  2 400          Cargo           Cr 28 000
Maintenance          Cr  1 966                                   
Berthing             Cr    100                                   
Summa               kCr    107                         kCr     28
     Income potential per jump     kCr -79                    
  Yearly yield on down payment     -19,1%                    [/code]</v>
      </c>
      <c r="C100" s="16" t="str">
        <f>""</f>
        <v/>
      </c>
      <c r="D100" s="115"/>
      <c r="E100" s="115"/>
      <c r="F100" s="115"/>
      <c r="G100" s="20"/>
      <c r="R100" s="50"/>
      <c r="S100" s="117" t="s">
        <v>143</v>
      </c>
      <c r="T100" s="119" t="str">
        <f>T97</f>
        <v>[code]
QN-13222R1-000000-00000-0       MCr 49,2         100 Dton
bearing                                            Crew=1
batteries                                           TL=12
                          Cargo=36 Fuel=22 EP=2 Agility=2
Single Occupancy                                     36      49,2
                                     USP    #      Dton      Cost
Hull, Part Streaml  Custom             1            100          
Configuration       Cylinder           3                       10
Scoops              Partial                                   0,1
Jump Drive                             2    1         3        12
Manoeuvre D         A                  2    1         1         4
Power Plant                            2    1         6        18
Fuel, #J, #weeks    J-2, 4 weeks            2         2          
Purifier                                    1         6         0
Bridge                                      1        20       0,5
Computer            m/1bis             R    1         1         4
Staterooms                                  1         4       0,5
Cargo                                                36          
Demountable Tanks   J-2                     1        20         0
Empty hardpoint                             1         1          
Nominal Cost        MCr 49,15            Sum:        36      49,2
Class Cost          MCr 10,32           Valid        ≥0        ≥0
Ship Cost           MCr 39,32                                    
Crew &amp;               High     0        Crew          Bridge     1
Passengers            Mid     0           1       Engineers     0
                      Low     0                     Gunners     0
                 Extra SR     0      Frozen         Service     0
               # Frozen W     0           0          Flight     0
                  Marines     0                     Marines     0
Estimated Economy of Ship     Custom                                       
       Ship price     Down Payment         Mortgage       Avg Filled
        MCr 49,15       kCr 10 322          kCr 205              80%
Expenses per jump                       Revenue                  
Bank                 Cr 98 300          High            Cr      0
Fuel                 Cr  2 200          Middle          Cr      0
Life Support         Cr  2 000          Low             Cr      0
Salaries             Cr  2 400          Cargo           Cr 28 000
Maintenance          Cr  1 966                                   
Berthing             Cr    100                                   
Summa               kCr    107                         kCr     28
     Income potential per jump     kCr -79                    
  Yearly yield on down payment     -19,1%                    [/code]</v>
      </c>
      <c r="U100" s="116" t="str">
        <f>""</f>
        <v/>
      </c>
      <c r="V100" s="120"/>
      <c r="W100" s="120"/>
      <c r="X100" s="120"/>
      <c r="Y100" s="121"/>
      <c r="Z100" s="121"/>
      <c r="AA100" s="121"/>
      <c r="AB100" s="121"/>
      <c r="AC100" s="121"/>
      <c r="AD100" s="121"/>
      <c r="AE100" s="121"/>
      <c r="AF100" s="120"/>
      <c r="AG100" s="120"/>
      <c r="AH100" s="16" t="str">
        <f>""</f>
        <v/>
      </c>
    </row>
    <row r="113" spans="2:4" ht="10" customHeight="1">
      <c r="B113" s="115"/>
      <c r="D113" s="115"/>
    </row>
  </sheetData>
  <phoneticPr fontId="1" type="noConversion"/>
  <conditionalFormatting sqref="A38:A40 A25 A36 A8 A16:A19 A42:A53">
    <cfRule type="cellIs" dxfId="3" priority="0" stopIfTrue="1" operator="greaterThan">
      <formula>0</formula>
    </cfRule>
  </conditionalFormatting>
  <conditionalFormatting sqref="D21">
    <cfRule type="cellIs" dxfId="2" priority="0" stopIfTrue="1" operator="lessThan">
      <formula>4</formula>
    </cfRule>
  </conditionalFormatting>
  <conditionalFormatting sqref="L8:L67">
    <cfRule type="cellIs" dxfId="1" priority="0" stopIfTrue="1" operator="greaterThan">
      <formula>TL</formula>
    </cfRule>
  </conditionalFormatting>
  <conditionalFormatting sqref="C36">
    <cfRule type="cellIs" dxfId="0" priority="0" stopIfTrue="1" operator="greaterThan">
      <formula>1</formula>
    </cfRule>
  </conditionalFormatting>
  <dataValidations xWindow="269" yWindow="503" count="19">
    <dataValidation type="list" allowBlank="1" showInputMessage="1" showErrorMessage="1" sqref="D36">
      <formula1>ValidSpinals</formula1>
    </dataValidation>
    <dataValidation type="list" allowBlank="1" showInputMessage="1" showErrorMessage="1" sqref="D38:D40">
      <formula1>ValidBays</formula1>
    </dataValidation>
    <dataValidation type="list" allowBlank="1" showInputMessage="1" showErrorMessage="1" sqref="B48:B50 B52:B53 B42:B46">
      <formula1>ValidTurrets</formula1>
    </dataValidation>
    <dataValidation type="list" allowBlank="1" showInputMessage="1" showErrorMessage="1" sqref="D81">
      <formula1>ValidStandard</formula1>
    </dataValidation>
    <dataValidation type="list" allowBlank="1" showInputMessage="1" showErrorMessage="1" sqref="A5">
      <formula1>Role</formula1>
    </dataValidation>
    <dataValidation type="list" allowBlank="1" showInputMessage="1" showErrorMessage="1" sqref="A6">
      <formula1>RoleQualifier</formula1>
    </dataValidation>
    <dataValidation type="list" allowBlank="1" showInputMessage="1" showErrorMessage="1" sqref="B9">
      <formula1>$AX$9:$BF$9</formula1>
    </dataValidation>
    <dataValidation type="list" allowBlank="1" showInputMessage="1" showErrorMessage="1" sqref="B63:B64">
      <formula1>Vehicles</formula1>
    </dataValidation>
    <dataValidation type="list" allowBlank="1" showInputMessage="1" showErrorMessage="1" sqref="B60:B62">
      <formula1>Smallcraft</formula1>
    </dataValidation>
    <dataValidation type="list" allowBlank="1" showInputMessage="1" showErrorMessage="1" sqref="E25">
      <formula1>ComputerMod</formula1>
    </dataValidation>
    <dataValidation type="list" allowBlank="1" showInputMessage="1" showErrorMessage="1" sqref="E16:E17 E19">
      <formula1>ValidDrives</formula1>
    </dataValidation>
    <dataValidation type="list" allowBlank="1" showInputMessage="1" showErrorMessage="1" sqref="B8">
      <formula1>ValidStandardHulls</formula1>
    </dataValidation>
    <dataValidation type="whole" operator="greaterThan" showInputMessage="1" showErrorMessage="1" promptTitle="Basic Rules from Book" prompt="0: LBB5 High Guard_x000d_1: LBB2 Starships" sqref="B7">
      <formula1>-1000000</formula1>
    </dataValidation>
    <dataValidation type="whole" operator="greaterThan" showInputMessage="1" showErrorMessage="1" promptTitle="Standard Drives limited by TL" prompt="0: All standard drives available at all TLs_x000d_1: Standard drives from LBB2 limited by TL table in LBB3_x000d__x000d__x000d_Max Potential still limited by TL when using LBB5 rules." sqref="A7">
      <formula1>-1000000</formula1>
    </dataValidation>
    <dataValidation type="whole" operator="greaterThan" showInputMessage="1" showErrorMessage="1" promptTitle="Default Settings" prompt="0: Civilian_x000d_1: Military_x000d__x000d_Military ships get bigger computers, higher agility, and more hardpoints by default." sqref="A3">
      <formula1>-1000000</formula1>
    </dataValidation>
    <dataValidation type="whole" operator="greaterThan" showInputMessage="1" showErrorMessage="1" promptTitle="Single or Double Occupancy" prompt="0: Single Occupancy_x000d_2: Double Occupancy" sqref="A4">
      <formula1>-1000000</formula1>
    </dataValidation>
    <dataValidation type="whole" allowBlank="1" showInputMessage="1" showErrorMessage="1" promptTitle="Number of identical drives" prompt="A negative number, e.g. -1, gives standard LBB2 drives." sqref="C16:C17 C19">
      <formula1>-10</formula1>
      <formula2>10</formula2>
    </dataValidation>
    <dataValidation type="whole" showInputMessage="1" showErrorMessage="1" promptTitle="Reserve space or empty turret" prompt="-1: No tonnage reserved_x000d_0: one Dton per hardpoint_x000d_1; Empty single turret_x000d_2: Empty double turret_x000d_3: Empty triple turret" sqref="D54">
      <formula1>-1</formula1>
      <formula2>3</formula2>
    </dataValidation>
    <dataValidation type="list" showInputMessage="1" showErrorMessage="1" sqref="J16:J19">
      <formula1>$BN$9:$BO$9</formula1>
    </dataValidation>
  </dataValidations>
  <pageMargins left="0.98" right="0.39000000000000007" top="0.39370078740157483" bottom="0.39000000000000007" header="0" footer="0.2"/>
  <headerFooter>
    <oddFooter>&amp;C&amp;F</oddFooter>
  </headerFooter>
  <ignoredErrors>
    <ignoredError sqref="K76" formulaRange="1"/>
  </ignoredErrors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4:F50"/>
  <sheetViews>
    <sheetView workbookViewId="0"/>
  </sheetViews>
  <sheetFormatPr baseColWidth="10" defaultRowHeight="16"/>
  <cols>
    <col min="1" max="1" width="25.83203125" style="1" customWidth="1"/>
    <col min="2" max="2" width="32.83203125" style="1" customWidth="1"/>
    <col min="3" max="4" width="19.83203125" style="1" customWidth="1"/>
    <col min="5" max="16384" width="10.83203125" style="1"/>
  </cols>
  <sheetData>
    <row r="4" spans="1:4">
      <c r="A4" s="1" t="str">
        <f>B12</f>
        <v>Auxiliary, Non-standard</v>
      </c>
      <c r="B4" s="6" t="str">
        <f>CONCATENATE(  A12,  "-",  D18,  "-",  D19,  "-",  D20,  "-",  D21  )</f>
        <v>QN-13222R1-000000-00000-0</v>
      </c>
      <c r="C4" s="3">
        <f xml:space="preserve"> IF( Ship!D81=Tables!A341, Ship!B70, Ship!B68 )</f>
        <v>49.150000000000006</v>
      </c>
      <c r="D4" s="7">
        <f>Tonnage</f>
        <v>100</v>
      </c>
    </row>
    <row r="5" spans="1:4">
      <c r="A5" s="2" t="s">
        <v>418</v>
      </c>
      <c r="B5" s="6" t="str">
        <f xml:space="preserve"> CONCATENATE(  "bearing     ",  E19,  " ",  E20  )</f>
        <v xml:space="preserve">bearing                </v>
      </c>
      <c r="D5" s="4">
        <f>Crew</f>
        <v>1</v>
      </c>
    </row>
    <row r="6" spans="1:4">
      <c r="A6" s="2" t="s">
        <v>323</v>
      </c>
      <c r="B6" s="6" t="str">
        <f xml:space="preserve"> CONCATENATE(  "batteries   ",  F19,  " ",  F20  )</f>
        <v xml:space="preserve">batteries              </v>
      </c>
      <c r="D6" s="5">
        <f>TL</f>
        <v>12</v>
      </c>
    </row>
    <row r="7" spans="1:4">
      <c r="D7" s="2" t="str">
        <f>CONCATENATE(  IF(Ship!D73+Ship!D74&gt;0,CONCATENATE( "Pass=",  Ship!D73+Ship!D74,  " "),""),  IF(Ship!K78&gt;0,CONCATENATE("Troops=",  Ship!K78,  " "),""),  IF(Ship!C29&gt;0,CONCATENATE("Low=",  Ship!C29, " "),""),  "Cargo=",  ROUNDDOWN(IFERROR(Cargo,0),0), " ",  "Fuel=",  ROUNDDOWN(Ship!G21+IFERROR(Ship!G32,0),1), " ",  "EP=",  ROUNDDOWN(EPNoDrop,2), " ",  "Agility=", Agility, IF( Ship!B13&gt;0, CONCATENATE( " DropT=", ROUND(Ship!B13,1) ), "" ) )</f>
        <v>Cargo=36 Fuel=22 EP=2 Agility=2</v>
      </c>
    </row>
    <row r="12" spans="1:4">
      <c r="A12" s="2" t="str">
        <f>CONCATENATE(  MID( IF(ISERROR(Ship!A5),"X",Ship!A5),1,1),  MID(IF(ISERROR(Ship!A6),"X",Ship!A6),1,1)  )</f>
        <v>QN</v>
      </c>
      <c r="B12" s="1" t="str">
        <f>CONCATENATE(  MID(Ship!A5,3,99),  ",",  MID(Ship!A6,2,99)  )</f>
        <v>Auxiliary, Non-standard</v>
      </c>
    </row>
    <row r="17" spans="1:6">
      <c r="D17" s="1" t="s">
        <v>372</v>
      </c>
      <c r="E17" s="1" t="s">
        <v>147</v>
      </c>
      <c r="F17" s="1" t="s">
        <v>148</v>
      </c>
    </row>
    <row r="18" spans="1:6">
      <c r="A18" s="1" t="s">
        <v>222</v>
      </c>
      <c r="B18" s="1" t="s">
        <v>322</v>
      </c>
      <c r="D18" s="1" t="str">
        <f xml:space="preserve"> CONCATENATE(  IF( ISERROR(Ship!F8),0,Ship!F8),  IF( ISERROR(Con),0,Con),  IF( ISERROR(Jump),0,Jump),  IF(ISERROR(Man),0,Man),  VLOOKUP( IF( ISERROR(PP),0,PP), Tables!B3:C37, 2 ),  IFERROR(CompCode,0),  IFERROR( VLOOKUP(  INT( LOG(Crew,10)+1 ),  Tables!$B$3:$C$37,  2  ),0),   )</f>
        <v>13222R1</v>
      </c>
    </row>
    <row r="19" spans="1:6">
      <c r="A19" s="1" t="s">
        <v>220</v>
      </c>
      <c r="B19" s="1" t="s">
        <v>330</v>
      </c>
      <c r="D19" s="1" t="str">
        <f xml:space="preserve"> CONCATENATE(  IFERROR(Ship!F11,0),  IFERROR(Ship!BW23,0),  IF( ISERROR(Ship!F57),0,Ship!F57),  IF( ISERROR(Ship!F56),0,Ship!F56),  IF( ISERROR(Ship!F58),0,Ship!F58),  IFERROR(Ship!BX23,0)  )</f>
        <v>000000</v>
      </c>
      <c r="E19" s="1" t="str">
        <f xml:space="preserve"> CONCATENATE(  IF( ISERROR(Ship!CF20)," ",Ship!CF20),  "   ",  IF( ISERROR(Ship!CG20)," ",Ship!CG20)  )</f>
        <v xml:space="preserve">     </v>
      </c>
      <c r="F19" s="1" t="str">
        <f xml:space="preserve"> CONCATENATE(  IF( ISERROR(Ship!CF23)," ",Ship!CF23),  "   ",  IF( ISERROR(Ship!CG23)," ",Ship!CG23)  )</f>
        <v xml:space="preserve">     </v>
      </c>
    </row>
    <row r="20" spans="1:6">
      <c r="A20" s="1" t="s">
        <v>8</v>
      </c>
      <c r="B20" s="1" t="s">
        <v>297</v>
      </c>
      <c r="D20" s="1" t="str">
        <f xml:space="preserve"> CONCATENATE(  IFERROR(Ship!BY23,0),  IFERROR(Ship!BZ23,0), IFERROR(Ship!CA23,0),  IFERROR(Ship!CB23,0),  IFERROR(Ship!CC23,0)  )</f>
        <v>00000</v>
      </c>
      <c r="E20" s="1" t="str">
        <f xml:space="preserve"> CONCATENATE(  IF( ISERROR(Ship!CH20)," ",Ship!CH20),  IF( ISERROR(Ship!CI20)," ",Ship!CI20),  IF( ISERROR(Ship!CJ20)," ",Ship!CJ20),  IF( ISERROR(Ship!CK20)," ",Ship!CK20),  IF( ISERROR(Ship!CL20)," ",Ship!CL20)  )</f>
        <v xml:space="preserve">     </v>
      </c>
      <c r="F20" s="1" t="str">
        <f xml:space="preserve"> CONCATENATE(  IF( ISERROR(Ship!CH23)," ",Ship!CH23),  IF( ISERROR(Ship!CI23)," ",Ship!CI23),  IF( ISERROR(Ship!CJ23)," ",Ship!CJ23),  IF( ISERROR(Ship!CK23)," ",Ship!CK23),  IF( ISERROR(Ship!CL23)," ",Ship!CL23)  )</f>
        <v xml:space="preserve">     </v>
      </c>
    </row>
    <row r="21" spans="1:6">
      <c r="A21" s="1" t="s">
        <v>230</v>
      </c>
      <c r="B21" s="1" t="s">
        <v>428</v>
      </c>
      <c r="D21" s="1" t="str">
        <f xml:space="preserve"> CONCATENATE(  ROUNDDOWN(IF( ISERROR(SUM(Ship!C59:C61)),0,SUM(Ship!C59:C61))/10,0)  )</f>
        <v>0</v>
      </c>
    </row>
    <row r="22" spans="1:6">
      <c r="A22" s="1" t="s">
        <v>417</v>
      </c>
      <c r="B22" s="1" t="s">
        <v>83</v>
      </c>
    </row>
    <row r="23" spans="1:6">
      <c r="A23" s="1" t="s">
        <v>86</v>
      </c>
      <c r="B23" s="1" t="s">
        <v>0</v>
      </c>
    </row>
    <row r="24" spans="1:6">
      <c r="A24" s="1" t="s">
        <v>60</v>
      </c>
      <c r="B24" s="1" t="s">
        <v>113</v>
      </c>
    </row>
    <row r="25" spans="1:6">
      <c r="A25" s="1" t="s">
        <v>93</v>
      </c>
      <c r="B25" s="1" t="s">
        <v>408</v>
      </c>
    </row>
    <row r="26" spans="1:6">
      <c r="A26" s="1" t="s">
        <v>357</v>
      </c>
      <c r="B26" s="1" t="s">
        <v>123</v>
      </c>
    </row>
    <row r="27" spans="1:6">
      <c r="A27" s="1" t="s">
        <v>279</v>
      </c>
      <c r="B27" s="1" t="s">
        <v>2</v>
      </c>
    </row>
    <row r="28" spans="1:6">
      <c r="A28" s="1" t="s">
        <v>174</v>
      </c>
      <c r="B28" s="1" t="s">
        <v>110</v>
      </c>
    </row>
    <row r="29" spans="1:6">
      <c r="A29" s="1" t="s">
        <v>424</v>
      </c>
      <c r="B29" s="1" t="s">
        <v>174</v>
      </c>
    </row>
    <row r="30" spans="1:6">
      <c r="A30" s="1" t="s">
        <v>242</v>
      </c>
      <c r="B30" s="1" t="s">
        <v>46</v>
      </c>
    </row>
    <row r="31" spans="1:6">
      <c r="A31" s="1" t="s">
        <v>163</v>
      </c>
      <c r="B31" s="1" t="s">
        <v>47</v>
      </c>
    </row>
    <row r="32" spans="1:6">
      <c r="A32" s="1" t="s">
        <v>293</v>
      </c>
      <c r="B32" s="1" t="s">
        <v>274</v>
      </c>
    </row>
    <row r="33" spans="1:2">
      <c r="A33" s="1" t="s">
        <v>102</v>
      </c>
      <c r="B33" s="1" t="s">
        <v>294</v>
      </c>
    </row>
    <row r="34" spans="1:2">
      <c r="A34" s="1" t="s">
        <v>221</v>
      </c>
      <c r="B34" s="1" t="s">
        <v>79</v>
      </c>
    </row>
    <row r="35" spans="1:2">
      <c r="A35" s="1" t="s">
        <v>419</v>
      </c>
      <c r="B35" s="1" t="s">
        <v>285</v>
      </c>
    </row>
    <row r="36" spans="1:2">
      <c r="A36" s="1" t="s">
        <v>420</v>
      </c>
      <c r="B36" s="1" t="s">
        <v>81</v>
      </c>
    </row>
    <row r="37" spans="1:2">
      <c r="A37" s="1" t="s">
        <v>80</v>
      </c>
      <c r="B37" s="1" t="s">
        <v>420</v>
      </c>
    </row>
    <row r="38" spans="1:2">
      <c r="A38" s="1" t="s">
        <v>286</v>
      </c>
      <c r="B38" s="1" t="s">
        <v>223</v>
      </c>
    </row>
    <row r="39" spans="1:2">
      <c r="A39" s="1" t="s">
        <v>34</v>
      </c>
      <c r="B39" s="1" t="s">
        <v>435</v>
      </c>
    </row>
    <row r="40" spans="1:2">
      <c r="A40" s="1" t="s">
        <v>157</v>
      </c>
      <c r="B40" s="1" t="s">
        <v>267</v>
      </c>
    </row>
    <row r="41" spans="1:2">
      <c r="A41" s="1" t="s">
        <v>101</v>
      </c>
      <c r="B41" s="1" t="s">
        <v>358</v>
      </c>
    </row>
    <row r="42" spans="1:2">
      <c r="A42" s="1" t="s">
        <v>359</v>
      </c>
      <c r="B42" s="1" t="s">
        <v>413</v>
      </c>
    </row>
    <row r="43" spans="1:2">
      <c r="A43" s="1" t="s">
        <v>35</v>
      </c>
      <c r="B43" s="1" t="s">
        <v>367</v>
      </c>
    </row>
    <row r="44" spans="1:2">
      <c r="A44" s="1" t="s">
        <v>421</v>
      </c>
      <c r="B44" s="1" t="s">
        <v>395</v>
      </c>
    </row>
    <row r="45" spans="1:2">
      <c r="A45" s="1" t="s">
        <v>44</v>
      </c>
      <c r="B45" s="1" t="s">
        <v>193</v>
      </c>
    </row>
    <row r="46" spans="1:2">
      <c r="A46" s="1" t="s">
        <v>363</v>
      </c>
      <c r="B46" s="1" t="s">
        <v>276</v>
      </c>
    </row>
    <row r="47" spans="1:2">
      <c r="A47" s="1" t="s">
        <v>229</v>
      </c>
      <c r="B47" s="1" t="s">
        <v>275</v>
      </c>
    </row>
    <row r="48" spans="1:2">
      <c r="A48" s="1" t="s">
        <v>194</v>
      </c>
      <c r="B48" s="1" t="s">
        <v>151</v>
      </c>
    </row>
    <row r="49" spans="1:2">
      <c r="A49" s="1" t="s">
        <v>45</v>
      </c>
      <c r="B49" s="1" t="s">
        <v>289</v>
      </c>
    </row>
    <row r="50" spans="1:2">
      <c r="B50" s="1" t="s">
        <v>316</v>
      </c>
    </row>
  </sheetData>
  <sheetCalcPr fullCalcOnLoad="1"/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C341"/>
  <sheetViews>
    <sheetView workbookViewId="0"/>
  </sheetViews>
  <sheetFormatPr baseColWidth="10" defaultColWidth="10.83203125" defaultRowHeight="12"/>
  <cols>
    <col min="1" max="1" width="25.83203125" style="8" customWidth="1"/>
    <col min="2" max="3" width="15.83203125" style="8" customWidth="1"/>
    <col min="4" max="16384" width="10.83203125" style="8"/>
  </cols>
  <sheetData>
    <row r="1" spans="1:3">
      <c r="B1" s="8" t="s">
        <v>337</v>
      </c>
    </row>
    <row r="2" spans="1:3">
      <c r="A2" s="10" t="s">
        <v>133</v>
      </c>
      <c r="B2" s="10" t="s">
        <v>134</v>
      </c>
      <c r="C2" s="10" t="s">
        <v>133</v>
      </c>
    </row>
    <row r="3" spans="1:3">
      <c r="A3" s="12" t="str">
        <f>""</f>
        <v/>
      </c>
      <c r="B3" s="12">
        <v>0</v>
      </c>
      <c r="C3" s="12">
        <v>0</v>
      </c>
    </row>
    <row r="4" spans="1:3">
      <c r="A4" s="12" t="str">
        <f>"0"</f>
        <v>0</v>
      </c>
      <c r="B4" s="12">
        <v>0</v>
      </c>
      <c r="C4" s="12" t="str">
        <f>A4</f>
        <v>0</v>
      </c>
    </row>
    <row r="5" spans="1:3">
      <c r="A5" s="12" t="str">
        <f>"1"</f>
        <v>1</v>
      </c>
      <c r="B5" s="12">
        <f>B3+1</f>
        <v>1</v>
      </c>
      <c r="C5" s="12" t="str">
        <f t="shared" ref="C5:C37" si="0">A5</f>
        <v>1</v>
      </c>
    </row>
    <row r="6" spans="1:3">
      <c r="A6" s="12" t="str">
        <f>"2"</f>
        <v>2</v>
      </c>
      <c r="B6" s="12">
        <f t="shared" ref="B6:B37" si="1">B5+1</f>
        <v>2</v>
      </c>
      <c r="C6" s="12" t="str">
        <f t="shared" si="0"/>
        <v>2</v>
      </c>
    </row>
    <row r="7" spans="1:3">
      <c r="A7" s="12" t="str">
        <f>"3"</f>
        <v>3</v>
      </c>
      <c r="B7" s="12">
        <f t="shared" si="1"/>
        <v>3</v>
      </c>
      <c r="C7" s="12" t="str">
        <f t="shared" si="0"/>
        <v>3</v>
      </c>
    </row>
    <row r="8" spans="1:3">
      <c r="A8" s="12" t="str">
        <f>"4"</f>
        <v>4</v>
      </c>
      <c r="B8" s="12">
        <f t="shared" si="1"/>
        <v>4</v>
      </c>
      <c r="C8" s="12" t="str">
        <f t="shared" si="0"/>
        <v>4</v>
      </c>
    </row>
    <row r="9" spans="1:3">
      <c r="A9" s="12" t="str">
        <f>"5"</f>
        <v>5</v>
      </c>
      <c r="B9" s="12">
        <f t="shared" si="1"/>
        <v>5</v>
      </c>
      <c r="C9" s="12" t="str">
        <f t="shared" si="0"/>
        <v>5</v>
      </c>
    </row>
    <row r="10" spans="1:3">
      <c r="A10" s="12" t="str">
        <f>"6"</f>
        <v>6</v>
      </c>
      <c r="B10" s="12">
        <f t="shared" si="1"/>
        <v>6</v>
      </c>
      <c r="C10" s="12" t="str">
        <f t="shared" si="0"/>
        <v>6</v>
      </c>
    </row>
    <row r="11" spans="1:3">
      <c r="A11" s="12" t="str">
        <f>"7"</f>
        <v>7</v>
      </c>
      <c r="B11" s="12">
        <f t="shared" si="1"/>
        <v>7</v>
      </c>
      <c r="C11" s="12" t="str">
        <f t="shared" si="0"/>
        <v>7</v>
      </c>
    </row>
    <row r="12" spans="1:3">
      <c r="A12" s="12" t="str">
        <f>"8"</f>
        <v>8</v>
      </c>
      <c r="B12" s="12">
        <f t="shared" si="1"/>
        <v>8</v>
      </c>
      <c r="C12" s="12" t="str">
        <f t="shared" si="0"/>
        <v>8</v>
      </c>
    </row>
    <row r="13" spans="1:3">
      <c r="A13" s="12" t="str">
        <f>"9"</f>
        <v>9</v>
      </c>
      <c r="B13" s="12">
        <f t="shared" si="1"/>
        <v>9</v>
      </c>
      <c r="C13" s="12" t="str">
        <f t="shared" si="0"/>
        <v>9</v>
      </c>
    </row>
    <row r="14" spans="1:3">
      <c r="A14" s="12" t="s">
        <v>135</v>
      </c>
      <c r="B14" s="12">
        <f t="shared" si="1"/>
        <v>10</v>
      </c>
      <c r="C14" s="12" t="str">
        <f t="shared" si="0"/>
        <v>A</v>
      </c>
    </row>
    <row r="15" spans="1:3">
      <c r="A15" s="12" t="s">
        <v>136</v>
      </c>
      <c r="B15" s="12">
        <f t="shared" si="1"/>
        <v>11</v>
      </c>
      <c r="C15" s="12" t="str">
        <f t="shared" si="0"/>
        <v>B</v>
      </c>
    </row>
    <row r="16" spans="1:3">
      <c r="A16" s="12" t="s">
        <v>159</v>
      </c>
      <c r="B16" s="12">
        <f t="shared" si="1"/>
        <v>12</v>
      </c>
      <c r="C16" s="12" t="str">
        <f t="shared" si="0"/>
        <v>C</v>
      </c>
    </row>
    <row r="17" spans="1:3">
      <c r="A17" s="12" t="s">
        <v>43</v>
      </c>
      <c r="B17" s="12">
        <f t="shared" si="1"/>
        <v>13</v>
      </c>
      <c r="C17" s="12" t="str">
        <f t="shared" si="0"/>
        <v>D</v>
      </c>
    </row>
    <row r="18" spans="1:3">
      <c r="A18" s="12" t="s">
        <v>42</v>
      </c>
      <c r="B18" s="12">
        <f t="shared" si="1"/>
        <v>14</v>
      </c>
      <c r="C18" s="12" t="str">
        <f t="shared" si="0"/>
        <v>E</v>
      </c>
    </row>
    <row r="19" spans="1:3">
      <c r="A19" s="12" t="s">
        <v>281</v>
      </c>
      <c r="B19" s="12">
        <f t="shared" si="1"/>
        <v>15</v>
      </c>
      <c r="C19" s="12" t="str">
        <f t="shared" si="0"/>
        <v>F</v>
      </c>
    </row>
    <row r="20" spans="1:3">
      <c r="A20" s="12" t="s">
        <v>378</v>
      </c>
      <c r="B20" s="12">
        <f t="shared" si="1"/>
        <v>16</v>
      </c>
      <c r="C20" s="12" t="str">
        <f t="shared" si="0"/>
        <v>G</v>
      </c>
    </row>
    <row r="21" spans="1:3">
      <c r="A21" s="12" t="s">
        <v>387</v>
      </c>
      <c r="B21" s="12">
        <f t="shared" si="1"/>
        <v>17</v>
      </c>
      <c r="C21" s="12" t="str">
        <f t="shared" si="0"/>
        <v>H</v>
      </c>
    </row>
    <row r="22" spans="1:3">
      <c r="A22" s="12" t="s">
        <v>265</v>
      </c>
      <c r="B22" s="12">
        <f t="shared" si="1"/>
        <v>18</v>
      </c>
      <c r="C22" s="12" t="str">
        <f t="shared" si="0"/>
        <v>J</v>
      </c>
    </row>
    <row r="23" spans="1:3">
      <c r="A23" s="12" t="s">
        <v>390</v>
      </c>
      <c r="B23" s="12">
        <f t="shared" si="1"/>
        <v>19</v>
      </c>
      <c r="C23" s="12" t="str">
        <f t="shared" si="0"/>
        <v>K</v>
      </c>
    </row>
    <row r="24" spans="1:3">
      <c r="A24" s="12" t="s">
        <v>391</v>
      </c>
      <c r="B24" s="12">
        <f t="shared" si="1"/>
        <v>20</v>
      </c>
      <c r="C24" s="12" t="str">
        <f t="shared" si="0"/>
        <v>L</v>
      </c>
    </row>
    <row r="25" spans="1:3">
      <c r="A25" s="12" t="s">
        <v>112</v>
      </c>
      <c r="B25" s="12">
        <f t="shared" si="1"/>
        <v>21</v>
      </c>
      <c r="C25" s="12" t="str">
        <f t="shared" si="0"/>
        <v>M</v>
      </c>
    </row>
    <row r="26" spans="1:3">
      <c r="A26" s="12" t="s">
        <v>370</v>
      </c>
      <c r="B26" s="12">
        <f t="shared" si="1"/>
        <v>22</v>
      </c>
      <c r="C26" s="12" t="str">
        <f t="shared" si="0"/>
        <v>N</v>
      </c>
    </row>
    <row r="27" spans="1:3">
      <c r="A27" s="12" t="s">
        <v>371</v>
      </c>
      <c r="B27" s="12">
        <f t="shared" si="1"/>
        <v>23</v>
      </c>
      <c r="C27" s="12" t="str">
        <f t="shared" si="0"/>
        <v>P</v>
      </c>
    </row>
    <row r="28" spans="1:3">
      <c r="A28" s="12" t="s">
        <v>195</v>
      </c>
      <c r="B28" s="12">
        <f t="shared" si="1"/>
        <v>24</v>
      </c>
      <c r="C28" s="12" t="str">
        <f t="shared" si="0"/>
        <v>Q</v>
      </c>
    </row>
    <row r="29" spans="1:3">
      <c r="A29" s="12" t="s">
        <v>158</v>
      </c>
      <c r="B29" s="12">
        <f t="shared" si="1"/>
        <v>25</v>
      </c>
      <c r="C29" s="12" t="str">
        <f t="shared" si="0"/>
        <v>R</v>
      </c>
    </row>
    <row r="30" spans="1:3">
      <c r="A30" s="12" t="s">
        <v>385</v>
      </c>
      <c r="B30" s="12">
        <f t="shared" si="1"/>
        <v>26</v>
      </c>
      <c r="C30" s="12" t="str">
        <f t="shared" si="0"/>
        <v>S</v>
      </c>
    </row>
    <row r="31" spans="1:3">
      <c r="A31" s="12" t="s">
        <v>118</v>
      </c>
      <c r="B31" s="12">
        <f t="shared" si="1"/>
        <v>27</v>
      </c>
      <c r="C31" s="12" t="str">
        <f t="shared" si="0"/>
        <v>T</v>
      </c>
    </row>
    <row r="32" spans="1:3">
      <c r="A32" s="12" t="s">
        <v>346</v>
      </c>
      <c r="B32" s="12">
        <f t="shared" si="1"/>
        <v>28</v>
      </c>
      <c r="C32" s="12" t="str">
        <f t="shared" si="0"/>
        <v>U</v>
      </c>
    </row>
    <row r="33" spans="1:6">
      <c r="A33" s="12" t="s">
        <v>347</v>
      </c>
      <c r="B33" s="12">
        <f t="shared" si="1"/>
        <v>29</v>
      </c>
      <c r="C33" s="12" t="str">
        <f t="shared" si="0"/>
        <v>V</v>
      </c>
    </row>
    <row r="34" spans="1:6">
      <c r="A34" s="12" t="s">
        <v>30</v>
      </c>
      <c r="B34" s="12">
        <f t="shared" si="1"/>
        <v>30</v>
      </c>
      <c r="C34" s="12" t="str">
        <f t="shared" si="0"/>
        <v>W</v>
      </c>
    </row>
    <row r="35" spans="1:6">
      <c r="A35" s="12" t="s">
        <v>31</v>
      </c>
      <c r="B35" s="12">
        <f t="shared" si="1"/>
        <v>31</v>
      </c>
      <c r="C35" s="12" t="str">
        <f t="shared" si="0"/>
        <v>X</v>
      </c>
    </row>
    <row r="36" spans="1:6">
      <c r="A36" s="12" t="s">
        <v>61</v>
      </c>
      <c r="B36" s="12">
        <f t="shared" si="1"/>
        <v>32</v>
      </c>
      <c r="C36" s="12" t="str">
        <f t="shared" si="0"/>
        <v>Y</v>
      </c>
    </row>
    <row r="37" spans="1:6">
      <c r="A37" s="12" t="s">
        <v>149</v>
      </c>
      <c r="B37" s="12">
        <f t="shared" si="1"/>
        <v>33</v>
      </c>
      <c r="C37" s="12" t="str">
        <f t="shared" si="0"/>
        <v>Z</v>
      </c>
    </row>
    <row r="40" spans="1:6">
      <c r="B40" s="8" t="s">
        <v>91</v>
      </c>
    </row>
    <row r="41" spans="1:6">
      <c r="A41" s="10" t="s">
        <v>139</v>
      </c>
      <c r="B41" s="10" t="s">
        <v>91</v>
      </c>
      <c r="C41" s="10" t="s">
        <v>139</v>
      </c>
      <c r="D41" s="10" t="s">
        <v>217</v>
      </c>
      <c r="E41" s="10" t="s">
        <v>218</v>
      </c>
      <c r="F41" s="10" t="s">
        <v>196</v>
      </c>
    </row>
    <row r="42" spans="1:6">
      <c r="A42" s="8">
        <v>0</v>
      </c>
      <c r="B42" s="8">
        <v>0</v>
      </c>
      <c r="C42" s="8">
        <f>A42</f>
        <v>0</v>
      </c>
      <c r="D42" s="8">
        <v>0</v>
      </c>
      <c r="E42" s="11">
        <v>1</v>
      </c>
      <c r="F42" s="8">
        <v>4</v>
      </c>
    </row>
    <row r="43" spans="1:6">
      <c r="A43" s="8">
        <v>1</v>
      </c>
      <c r="B43" s="8">
        <v>100</v>
      </c>
      <c r="C43" s="8">
        <f t="shared" ref="C43:C74" si="2">A43</f>
        <v>1</v>
      </c>
      <c r="D43" s="8">
        <v>0</v>
      </c>
      <c r="E43" s="11">
        <v>1</v>
      </c>
      <c r="F43" s="8">
        <v>10</v>
      </c>
    </row>
    <row r="44" spans="1:6">
      <c r="A44" s="8">
        <v>2</v>
      </c>
      <c r="B44" s="8">
        <v>200</v>
      </c>
      <c r="C44" s="8">
        <f t="shared" si="2"/>
        <v>2</v>
      </c>
      <c r="D44" s="8">
        <v>0</v>
      </c>
      <c r="E44" s="11">
        <v>1</v>
      </c>
      <c r="F44" s="8">
        <v>12</v>
      </c>
    </row>
    <row r="45" spans="1:6">
      <c r="A45" s="8">
        <v>3</v>
      </c>
      <c r="B45" s="8">
        <v>300</v>
      </c>
      <c r="C45" s="8">
        <f t="shared" si="2"/>
        <v>3</v>
      </c>
      <c r="D45" s="8">
        <v>0</v>
      </c>
      <c r="E45" s="11">
        <v>1</v>
      </c>
      <c r="F45" s="8">
        <v>16</v>
      </c>
    </row>
    <row r="46" spans="1:6">
      <c r="A46" s="8">
        <v>4</v>
      </c>
      <c r="B46" s="8">
        <v>400</v>
      </c>
      <c r="C46" s="8">
        <f t="shared" si="2"/>
        <v>4</v>
      </c>
      <c r="D46" s="8">
        <v>0</v>
      </c>
      <c r="E46" s="11">
        <v>1</v>
      </c>
      <c r="F46" s="8">
        <v>16</v>
      </c>
    </row>
    <row r="47" spans="1:6">
      <c r="A47" s="8">
        <v>5</v>
      </c>
      <c r="B47" s="8">
        <v>500</v>
      </c>
      <c r="C47" s="8">
        <f t="shared" si="2"/>
        <v>5</v>
      </c>
      <c r="D47" s="8">
        <v>0</v>
      </c>
      <c r="E47" s="11">
        <v>1</v>
      </c>
      <c r="F47" s="8">
        <v>16</v>
      </c>
    </row>
    <row r="48" spans="1:6">
      <c r="A48" s="8">
        <v>6</v>
      </c>
      <c r="B48" s="8">
        <v>600</v>
      </c>
      <c r="C48" s="8">
        <f t="shared" si="2"/>
        <v>6</v>
      </c>
      <c r="D48" s="8">
        <v>1</v>
      </c>
      <c r="E48" s="11">
        <v>1</v>
      </c>
      <c r="F48" s="8">
        <v>16</v>
      </c>
    </row>
    <row r="49" spans="1:6">
      <c r="A49" s="8">
        <v>7</v>
      </c>
      <c r="B49" s="8">
        <v>700</v>
      </c>
      <c r="C49" s="8">
        <f t="shared" si="2"/>
        <v>7</v>
      </c>
      <c r="D49" s="8">
        <v>1</v>
      </c>
      <c r="E49" s="11">
        <v>1</v>
      </c>
      <c r="F49" s="8">
        <v>28</v>
      </c>
    </row>
    <row r="50" spans="1:6">
      <c r="A50" s="8">
        <v>8</v>
      </c>
      <c r="B50" s="8">
        <v>800</v>
      </c>
      <c r="C50" s="8">
        <f t="shared" si="2"/>
        <v>8</v>
      </c>
      <c r="D50" s="8">
        <v>1</v>
      </c>
      <c r="E50" s="11">
        <v>1</v>
      </c>
      <c r="F50" s="8">
        <v>28</v>
      </c>
    </row>
    <row r="51" spans="1:6">
      <c r="A51" s="8">
        <v>9</v>
      </c>
      <c r="B51" s="8">
        <v>900</v>
      </c>
      <c r="C51" s="8">
        <f t="shared" si="2"/>
        <v>9</v>
      </c>
      <c r="D51" s="8">
        <v>1</v>
      </c>
      <c r="E51" s="11">
        <v>1</v>
      </c>
      <c r="F51" s="8">
        <v>30</v>
      </c>
    </row>
    <row r="52" spans="1:6">
      <c r="A52" s="8">
        <v>10</v>
      </c>
      <c r="B52" s="8">
        <v>1000</v>
      </c>
      <c r="C52" s="8">
        <f t="shared" si="2"/>
        <v>10</v>
      </c>
      <c r="D52" s="8">
        <v>2</v>
      </c>
      <c r="E52" s="11">
        <v>1</v>
      </c>
      <c r="F52" s="8">
        <v>30</v>
      </c>
    </row>
    <row r="53" spans="1:6">
      <c r="A53" s="8">
        <v>11</v>
      </c>
      <c r="B53" s="8">
        <v>2000</v>
      </c>
      <c r="C53" s="8">
        <f t="shared" si="2"/>
        <v>11</v>
      </c>
      <c r="D53" s="8">
        <v>2</v>
      </c>
      <c r="E53" s="11">
        <v>1</v>
      </c>
      <c r="F53" s="8">
        <v>32</v>
      </c>
    </row>
    <row r="54" spans="1:6">
      <c r="A54" s="8">
        <v>12</v>
      </c>
      <c r="B54" s="8">
        <v>3000</v>
      </c>
      <c r="C54" s="8">
        <f t="shared" si="2"/>
        <v>12</v>
      </c>
      <c r="D54" s="8">
        <v>2</v>
      </c>
      <c r="E54" s="11">
        <v>1</v>
      </c>
      <c r="F54" s="8">
        <v>34</v>
      </c>
    </row>
    <row r="55" spans="1:6">
      <c r="A55" s="8">
        <v>13</v>
      </c>
      <c r="B55" s="8">
        <v>4000</v>
      </c>
      <c r="C55" s="8">
        <f t="shared" si="2"/>
        <v>13</v>
      </c>
      <c r="D55" s="8">
        <v>3</v>
      </c>
      <c r="E55" s="11">
        <v>1</v>
      </c>
      <c r="F55" s="8">
        <v>35</v>
      </c>
    </row>
    <row r="56" spans="1:6">
      <c r="A56" s="8">
        <v>14</v>
      </c>
      <c r="B56" s="8">
        <v>5000</v>
      </c>
      <c r="C56" s="8">
        <f t="shared" si="2"/>
        <v>14</v>
      </c>
      <c r="D56" s="8">
        <v>3</v>
      </c>
      <c r="E56" s="11">
        <v>1</v>
      </c>
      <c r="F56" s="8">
        <v>36</v>
      </c>
    </row>
    <row r="57" spans="1:6">
      <c r="A57" s="8">
        <v>15</v>
      </c>
      <c r="B57" s="8">
        <v>6000</v>
      </c>
      <c r="C57" s="8">
        <f t="shared" si="2"/>
        <v>15</v>
      </c>
      <c r="D57" s="8">
        <v>3</v>
      </c>
      <c r="E57" s="11">
        <v>1</v>
      </c>
    </row>
    <row r="58" spans="1:6">
      <c r="A58" s="8">
        <v>16</v>
      </c>
      <c r="B58" s="8">
        <v>7000</v>
      </c>
      <c r="C58" s="8">
        <f t="shared" si="2"/>
        <v>16</v>
      </c>
      <c r="D58" s="8">
        <v>3</v>
      </c>
      <c r="E58" s="11">
        <v>1</v>
      </c>
    </row>
    <row r="59" spans="1:6">
      <c r="A59" s="8">
        <v>17</v>
      </c>
      <c r="B59" s="8">
        <v>8000</v>
      </c>
      <c r="C59" s="8">
        <f t="shared" si="2"/>
        <v>17</v>
      </c>
      <c r="D59" s="8">
        <v>4</v>
      </c>
      <c r="E59" s="11">
        <v>1</v>
      </c>
    </row>
    <row r="60" spans="1:6">
      <c r="A60" s="8">
        <v>18</v>
      </c>
      <c r="B60" s="8">
        <v>9000</v>
      </c>
      <c r="C60" s="8">
        <f t="shared" si="2"/>
        <v>18</v>
      </c>
      <c r="D60" s="8">
        <v>4</v>
      </c>
      <c r="E60" s="11">
        <v>1</v>
      </c>
    </row>
    <row r="61" spans="1:6">
      <c r="A61" s="8">
        <f>A60+1</f>
        <v>19</v>
      </c>
      <c r="B61" s="8">
        <v>10000</v>
      </c>
      <c r="C61" s="8">
        <f t="shared" si="2"/>
        <v>19</v>
      </c>
      <c r="D61" s="8">
        <v>4</v>
      </c>
      <c r="E61" s="11">
        <v>1</v>
      </c>
    </row>
    <row r="62" spans="1:6">
      <c r="A62" s="8">
        <f t="shared" ref="A62:A74" si="3">A61+1</f>
        <v>20</v>
      </c>
      <c r="B62" s="8">
        <v>20000</v>
      </c>
      <c r="C62" s="8">
        <f t="shared" si="2"/>
        <v>20</v>
      </c>
      <c r="D62" s="8">
        <v>4</v>
      </c>
      <c r="E62" s="11">
        <v>0.95</v>
      </c>
    </row>
    <row r="63" spans="1:6">
      <c r="A63" s="8">
        <f t="shared" si="3"/>
        <v>21</v>
      </c>
      <c r="B63" s="8">
        <v>30000</v>
      </c>
      <c r="C63" s="8">
        <f t="shared" si="2"/>
        <v>21</v>
      </c>
      <c r="D63" s="8">
        <v>4</v>
      </c>
      <c r="E63" s="11">
        <v>0.9</v>
      </c>
    </row>
    <row r="64" spans="1:6">
      <c r="A64" s="8">
        <f t="shared" si="3"/>
        <v>22</v>
      </c>
      <c r="B64" s="8">
        <v>40000</v>
      </c>
      <c r="C64" s="8">
        <f t="shared" si="2"/>
        <v>22</v>
      </c>
      <c r="D64" s="8">
        <v>4</v>
      </c>
      <c r="E64" s="11">
        <v>0.85</v>
      </c>
    </row>
    <row r="65" spans="1:5">
      <c r="A65" s="8">
        <f t="shared" si="3"/>
        <v>23</v>
      </c>
      <c r="B65" s="8">
        <v>50000</v>
      </c>
      <c r="C65" s="8">
        <f t="shared" si="2"/>
        <v>23</v>
      </c>
      <c r="D65" s="8">
        <v>5</v>
      </c>
      <c r="E65" s="11">
        <v>0.8</v>
      </c>
    </row>
    <row r="66" spans="1:5">
      <c r="A66" s="8">
        <f t="shared" si="3"/>
        <v>24</v>
      </c>
      <c r="B66" s="8">
        <v>75000</v>
      </c>
      <c r="C66" s="8">
        <f t="shared" si="2"/>
        <v>24</v>
      </c>
      <c r="D66" s="8">
        <v>5</v>
      </c>
      <c r="E66" s="11">
        <v>0.75</v>
      </c>
    </row>
    <row r="67" spans="1:5">
      <c r="A67" s="8">
        <f t="shared" si="3"/>
        <v>25</v>
      </c>
      <c r="B67" s="8">
        <v>100000</v>
      </c>
      <c r="C67" s="8">
        <f t="shared" si="2"/>
        <v>25</v>
      </c>
      <c r="D67" s="8">
        <v>6</v>
      </c>
      <c r="E67" s="11">
        <v>0.7</v>
      </c>
    </row>
    <row r="68" spans="1:5">
      <c r="A68" s="8">
        <f t="shared" si="3"/>
        <v>26</v>
      </c>
      <c r="B68" s="8">
        <v>200000</v>
      </c>
      <c r="C68" s="8">
        <f t="shared" si="2"/>
        <v>26</v>
      </c>
      <c r="D68" s="8">
        <v>6</v>
      </c>
      <c r="E68" s="11">
        <v>0.65</v>
      </c>
    </row>
    <row r="69" spans="1:5">
      <c r="A69" s="8">
        <f t="shared" si="3"/>
        <v>27</v>
      </c>
      <c r="B69" s="8">
        <v>300000</v>
      </c>
      <c r="C69" s="8">
        <f t="shared" si="2"/>
        <v>27</v>
      </c>
      <c r="D69" s="8">
        <v>6</v>
      </c>
      <c r="E69" s="11">
        <v>0.6</v>
      </c>
    </row>
    <row r="70" spans="1:5">
      <c r="A70" s="8">
        <f t="shared" si="3"/>
        <v>28</v>
      </c>
      <c r="B70" s="8">
        <v>400000</v>
      </c>
      <c r="C70" s="8">
        <f t="shared" si="2"/>
        <v>28</v>
      </c>
      <c r="D70" s="8">
        <v>6</v>
      </c>
      <c r="E70" s="11">
        <v>0.55000000000000004</v>
      </c>
    </row>
    <row r="71" spans="1:5">
      <c r="A71" s="8">
        <f t="shared" si="3"/>
        <v>29</v>
      </c>
      <c r="B71" s="8">
        <v>500000</v>
      </c>
      <c r="C71" s="8">
        <f t="shared" si="2"/>
        <v>29</v>
      </c>
      <c r="D71" s="8">
        <v>6</v>
      </c>
      <c r="E71" s="11">
        <v>0.5</v>
      </c>
    </row>
    <row r="72" spans="1:5">
      <c r="A72" s="8">
        <f t="shared" si="3"/>
        <v>30</v>
      </c>
      <c r="B72" s="8">
        <v>700000</v>
      </c>
      <c r="C72" s="8">
        <f t="shared" si="2"/>
        <v>30</v>
      </c>
      <c r="D72" s="8">
        <v>6</v>
      </c>
      <c r="E72" s="11">
        <v>0.5</v>
      </c>
    </row>
    <row r="73" spans="1:5">
      <c r="A73" s="8">
        <f t="shared" si="3"/>
        <v>31</v>
      </c>
      <c r="B73" s="8">
        <v>900000</v>
      </c>
      <c r="C73" s="8">
        <f t="shared" si="2"/>
        <v>31</v>
      </c>
      <c r="D73" s="8">
        <v>6</v>
      </c>
      <c r="E73" s="11">
        <v>0.5</v>
      </c>
    </row>
    <row r="74" spans="1:5">
      <c r="A74" s="8">
        <f t="shared" si="3"/>
        <v>32</v>
      </c>
      <c r="B74" s="8">
        <v>1000000</v>
      </c>
      <c r="C74" s="8">
        <f t="shared" si="2"/>
        <v>32</v>
      </c>
      <c r="D74" s="8">
        <v>7</v>
      </c>
      <c r="E74" s="11">
        <v>0.5</v>
      </c>
    </row>
    <row r="77" spans="1:5">
      <c r="A77" s="9" t="s">
        <v>73</v>
      </c>
      <c r="B77" s="10" t="s">
        <v>91</v>
      </c>
      <c r="C77" s="10" t="s">
        <v>198</v>
      </c>
      <c r="D77" s="10" t="s">
        <v>382</v>
      </c>
      <c r="E77" s="10" t="s">
        <v>196</v>
      </c>
    </row>
    <row r="78" spans="1:5">
      <c r="A78" s="8" t="s">
        <v>356</v>
      </c>
      <c r="B78" s="8">
        <v>0</v>
      </c>
      <c r="C78" s="8">
        <v>0</v>
      </c>
      <c r="D78" s="8">
        <v>0</v>
      </c>
      <c r="E78" s="8">
        <v>0</v>
      </c>
    </row>
    <row r="79" spans="1:5">
      <c r="A79" s="8" t="s">
        <v>175</v>
      </c>
      <c r="B79" s="8">
        <v>100</v>
      </c>
      <c r="C79" s="8">
        <v>15</v>
      </c>
      <c r="D79" s="8">
        <v>2</v>
      </c>
      <c r="E79" s="8">
        <v>9</v>
      </c>
    </row>
    <row r="80" spans="1:5">
      <c r="A80" s="8" t="s">
        <v>264</v>
      </c>
      <c r="B80" s="8">
        <v>200</v>
      </c>
      <c r="C80" s="8">
        <v>15</v>
      </c>
      <c r="D80" s="8">
        <v>8</v>
      </c>
      <c r="E80" s="8">
        <v>11</v>
      </c>
    </row>
    <row r="81" spans="1:9">
      <c r="A81" s="8" t="s">
        <v>329</v>
      </c>
      <c r="B81" s="8">
        <v>400</v>
      </c>
      <c r="C81" s="8">
        <v>50</v>
      </c>
      <c r="D81" s="8">
        <v>16</v>
      </c>
      <c r="E81" s="8">
        <v>14</v>
      </c>
    </row>
    <row r="82" spans="1:9">
      <c r="A82" s="8" t="s">
        <v>328</v>
      </c>
      <c r="B82" s="8">
        <v>600</v>
      </c>
      <c r="C82" s="8">
        <v>85</v>
      </c>
      <c r="D82" s="8">
        <v>48</v>
      </c>
      <c r="E82" s="8">
        <v>22</v>
      </c>
    </row>
    <row r="83" spans="1:9">
      <c r="A83" s="8" t="s">
        <v>327</v>
      </c>
      <c r="B83" s="8">
        <v>800</v>
      </c>
      <c r="C83" s="8">
        <v>165</v>
      </c>
      <c r="D83" s="8">
        <v>80</v>
      </c>
      <c r="E83" s="8">
        <v>25</v>
      </c>
    </row>
    <row r="84" spans="1:9">
      <c r="A84" s="8" t="s">
        <v>249</v>
      </c>
      <c r="B84" s="8">
        <v>1000</v>
      </c>
      <c r="C84" s="8">
        <v>165</v>
      </c>
      <c r="D84" s="8">
        <v>100</v>
      </c>
      <c r="E84" s="8">
        <v>27</v>
      </c>
    </row>
    <row r="87" spans="1:9">
      <c r="B87" s="8" t="s">
        <v>187</v>
      </c>
    </row>
    <row r="88" spans="1:9">
      <c r="A88" s="10" t="s">
        <v>139</v>
      </c>
      <c r="B88" s="9" t="s">
        <v>203</v>
      </c>
      <c r="C88" s="10" t="s">
        <v>139</v>
      </c>
      <c r="D88" s="9" t="s">
        <v>204</v>
      </c>
      <c r="E88" s="10" t="s">
        <v>91</v>
      </c>
      <c r="F88" s="10" t="s">
        <v>205</v>
      </c>
      <c r="G88" s="10" t="s">
        <v>55</v>
      </c>
      <c r="H88" s="10" t="s">
        <v>388</v>
      </c>
      <c r="I88" s="10" t="s">
        <v>389</v>
      </c>
    </row>
    <row r="89" spans="1:9">
      <c r="A89" s="8">
        <v>0</v>
      </c>
      <c r="B89" s="8" t="s">
        <v>407</v>
      </c>
      <c r="C89" s="8">
        <v>0</v>
      </c>
      <c r="D89" s="8" t="s">
        <v>416</v>
      </c>
      <c r="E89" s="11">
        <v>0</v>
      </c>
      <c r="F89" s="11">
        <v>-0.4</v>
      </c>
      <c r="G89" s="8">
        <v>0</v>
      </c>
      <c r="H89" s="8">
        <v>0</v>
      </c>
      <c r="I89" s="8">
        <v>0</v>
      </c>
    </row>
    <row r="90" spans="1:9">
      <c r="A90" s="8">
        <v>1</v>
      </c>
      <c r="B90" s="8" t="s">
        <v>186</v>
      </c>
      <c r="C90" s="8">
        <v>1</v>
      </c>
      <c r="D90" s="8" t="s">
        <v>204</v>
      </c>
      <c r="E90" s="11">
        <v>0</v>
      </c>
      <c r="F90" s="11">
        <v>0.2</v>
      </c>
      <c r="G90" s="8">
        <v>0</v>
      </c>
      <c r="H90" s="8">
        <v>0</v>
      </c>
      <c r="I90" s="8">
        <v>0</v>
      </c>
    </row>
    <row r="91" spans="1:9">
      <c r="A91" s="8">
        <v>2</v>
      </c>
      <c r="B91" s="8" t="s">
        <v>87</v>
      </c>
      <c r="C91" s="8">
        <v>2</v>
      </c>
      <c r="D91" s="8" t="s">
        <v>204</v>
      </c>
      <c r="E91" s="11">
        <v>0</v>
      </c>
      <c r="F91" s="11">
        <v>0.1</v>
      </c>
      <c r="G91" s="8">
        <v>0</v>
      </c>
      <c r="H91" s="8">
        <v>0</v>
      </c>
      <c r="I91" s="8">
        <v>0</v>
      </c>
    </row>
    <row r="92" spans="1:9">
      <c r="A92" s="8">
        <v>3</v>
      </c>
      <c r="B92" s="8" t="s">
        <v>185</v>
      </c>
      <c r="C92" s="8">
        <v>3</v>
      </c>
      <c r="D92" s="8" t="s">
        <v>416</v>
      </c>
      <c r="E92" s="11">
        <v>0</v>
      </c>
      <c r="F92" s="11">
        <v>0</v>
      </c>
      <c r="G92" s="8">
        <v>0</v>
      </c>
      <c r="H92" s="8">
        <v>0</v>
      </c>
      <c r="I92" s="8">
        <v>0</v>
      </c>
    </row>
    <row r="93" spans="1:9">
      <c r="A93" s="8">
        <v>4</v>
      </c>
      <c r="B93" s="8" t="s">
        <v>407</v>
      </c>
      <c r="C93" s="8">
        <v>4</v>
      </c>
      <c r="D93" s="8" t="s">
        <v>416</v>
      </c>
      <c r="E93" s="11">
        <v>0</v>
      </c>
      <c r="F93" s="11">
        <v>-0.4</v>
      </c>
      <c r="G93" s="8">
        <v>0</v>
      </c>
      <c r="H93" s="8">
        <v>0</v>
      </c>
      <c r="I93" s="8">
        <v>0</v>
      </c>
    </row>
    <row r="94" spans="1:9">
      <c r="A94" s="8">
        <v>5</v>
      </c>
      <c r="B94" s="8" t="s">
        <v>383</v>
      </c>
      <c r="C94" s="8">
        <v>5</v>
      </c>
      <c r="D94" s="8" t="s">
        <v>416</v>
      </c>
      <c r="E94" s="11">
        <v>0</v>
      </c>
      <c r="F94" s="11">
        <v>-0.3</v>
      </c>
      <c r="G94" s="8">
        <v>0</v>
      </c>
      <c r="H94" s="8">
        <v>0</v>
      </c>
      <c r="I94" s="8">
        <v>0</v>
      </c>
    </row>
    <row r="95" spans="1:9">
      <c r="A95" s="8">
        <v>6</v>
      </c>
      <c r="B95" s="8" t="s">
        <v>240</v>
      </c>
      <c r="C95" s="8">
        <v>6</v>
      </c>
      <c r="D95" s="8" t="s">
        <v>204</v>
      </c>
      <c r="E95" s="11">
        <v>0</v>
      </c>
      <c r="F95" s="11">
        <v>-0.2</v>
      </c>
      <c r="G95" s="8">
        <v>0</v>
      </c>
      <c r="H95" s="8">
        <v>0</v>
      </c>
      <c r="I95" s="8">
        <v>0</v>
      </c>
    </row>
    <row r="96" spans="1:9">
      <c r="A96" s="8">
        <v>7</v>
      </c>
      <c r="B96" s="8" t="s">
        <v>94</v>
      </c>
      <c r="C96" s="8">
        <v>7</v>
      </c>
      <c r="D96" s="8" t="s">
        <v>95</v>
      </c>
      <c r="E96" s="11">
        <v>0</v>
      </c>
      <c r="F96" s="11">
        <v>-0.5</v>
      </c>
      <c r="G96" s="8">
        <v>0</v>
      </c>
      <c r="H96" s="8">
        <v>0</v>
      </c>
      <c r="I96" s="8">
        <v>0</v>
      </c>
    </row>
    <row r="97" spans="1:10">
      <c r="A97" s="8">
        <v>8</v>
      </c>
      <c r="B97" s="8" t="s">
        <v>433</v>
      </c>
      <c r="C97" s="8">
        <v>8</v>
      </c>
      <c r="D97" s="8" t="s">
        <v>95</v>
      </c>
      <c r="E97" s="11">
        <v>0.2</v>
      </c>
      <c r="F97" s="11">
        <v>-1</v>
      </c>
      <c r="G97" s="8">
        <v>1E-4</v>
      </c>
      <c r="H97" s="8">
        <v>1E-3</v>
      </c>
      <c r="I97" s="8">
        <v>3</v>
      </c>
    </row>
    <row r="98" spans="1:10">
      <c r="A98" s="8">
        <v>9</v>
      </c>
      <c r="B98" s="8" t="s">
        <v>434</v>
      </c>
      <c r="C98" s="8">
        <v>9</v>
      </c>
      <c r="D98" s="8" t="s">
        <v>95</v>
      </c>
      <c r="E98" s="11">
        <v>0.35</v>
      </c>
      <c r="F98" s="11">
        <v>-1</v>
      </c>
      <c r="G98" s="8">
        <v>1E-4</v>
      </c>
      <c r="H98" s="8">
        <v>1E-3</v>
      </c>
      <c r="I98" s="8">
        <v>6</v>
      </c>
    </row>
    <row r="101" spans="1:10">
      <c r="B101" s="8" t="s">
        <v>105</v>
      </c>
    </row>
    <row r="102" spans="1:10">
      <c r="A102" s="10" t="s">
        <v>310</v>
      </c>
      <c r="B102" s="10" t="s">
        <v>91</v>
      </c>
    </row>
    <row r="103" spans="1:10">
      <c r="A103" s="8">
        <v>0</v>
      </c>
      <c r="B103" s="8">
        <v>10</v>
      </c>
    </row>
    <row r="104" spans="1:10">
      <c r="A104" s="8">
        <v>7</v>
      </c>
      <c r="B104" s="8">
        <v>4</v>
      </c>
    </row>
    <row r="105" spans="1:10">
      <c r="A105" s="8">
        <v>10</v>
      </c>
      <c r="B105" s="8">
        <v>3</v>
      </c>
    </row>
    <row r="106" spans="1:10">
      <c r="A106" s="8">
        <v>12</v>
      </c>
      <c r="B106" s="8">
        <v>2</v>
      </c>
    </row>
    <row r="107" spans="1:10">
      <c r="A107" s="8">
        <v>14</v>
      </c>
      <c r="B107" s="8">
        <v>1</v>
      </c>
    </row>
    <row r="110" spans="1:10">
      <c r="B110" s="8" t="s">
        <v>309</v>
      </c>
      <c r="F110" s="8" t="s">
        <v>126</v>
      </c>
      <c r="J110" s="8" t="s">
        <v>127</v>
      </c>
    </row>
    <row r="111" spans="1:10">
      <c r="A111" s="10" t="s">
        <v>310</v>
      </c>
      <c r="B111" s="10" t="s">
        <v>139</v>
      </c>
      <c r="C111" s="10" t="s">
        <v>91</v>
      </c>
      <c r="E111" s="10" t="s">
        <v>310</v>
      </c>
      <c r="F111" s="10" t="s">
        <v>139</v>
      </c>
      <c r="G111" s="10" t="s">
        <v>91</v>
      </c>
      <c r="I111" s="10" t="s">
        <v>310</v>
      </c>
      <c r="J111" s="10" t="s">
        <v>91</v>
      </c>
    </row>
    <row r="112" spans="1:10">
      <c r="A112" s="8">
        <v>0</v>
      </c>
      <c r="B112" s="8">
        <v>0</v>
      </c>
      <c r="C112" s="8">
        <v>0</v>
      </c>
      <c r="E112" s="8">
        <v>0</v>
      </c>
      <c r="F112" s="8">
        <v>0</v>
      </c>
      <c r="G112" s="8">
        <v>0</v>
      </c>
      <c r="I112" s="8">
        <v>0</v>
      </c>
      <c r="J112" s="8">
        <v>10</v>
      </c>
    </row>
    <row r="113" spans="1:10">
      <c r="A113" s="8">
        <v>9</v>
      </c>
      <c r="B113" s="8">
        <v>1</v>
      </c>
      <c r="C113" s="8">
        <v>2</v>
      </c>
      <c r="E113" s="8">
        <v>6.9</v>
      </c>
      <c r="F113" s="8">
        <v>1</v>
      </c>
      <c r="G113" s="8">
        <v>2</v>
      </c>
      <c r="I113" s="8">
        <v>7</v>
      </c>
      <c r="J113" s="8">
        <v>4</v>
      </c>
    </row>
    <row r="114" spans="1:10">
      <c r="A114" s="8">
        <v>11</v>
      </c>
      <c r="B114" s="8">
        <v>2</v>
      </c>
      <c r="C114" s="8">
        <v>3</v>
      </c>
      <c r="E114" s="8">
        <v>7</v>
      </c>
      <c r="F114" s="8">
        <v>2</v>
      </c>
      <c r="G114" s="8">
        <v>5</v>
      </c>
      <c r="I114" s="8">
        <v>9</v>
      </c>
      <c r="J114" s="8">
        <v>3</v>
      </c>
    </row>
    <row r="115" spans="1:10">
      <c r="A115" s="8">
        <v>12</v>
      </c>
      <c r="B115" s="8">
        <v>3</v>
      </c>
      <c r="C115" s="8">
        <v>4</v>
      </c>
      <c r="E115" s="8">
        <v>7.9</v>
      </c>
      <c r="F115" s="8">
        <v>3</v>
      </c>
      <c r="G115" s="8">
        <v>8</v>
      </c>
      <c r="I115" s="8">
        <v>13</v>
      </c>
      <c r="J115" s="8">
        <v>2</v>
      </c>
    </row>
    <row r="116" spans="1:10">
      <c r="A116" s="8">
        <v>13</v>
      </c>
      <c r="B116" s="8">
        <v>4</v>
      </c>
      <c r="C116" s="8">
        <v>5</v>
      </c>
      <c r="E116" s="8">
        <v>7.9</v>
      </c>
      <c r="F116" s="8">
        <v>4</v>
      </c>
      <c r="G116" s="8">
        <v>11</v>
      </c>
      <c r="I116" s="8">
        <v>15</v>
      </c>
      <c r="J116" s="8">
        <v>1</v>
      </c>
    </row>
    <row r="117" spans="1:10">
      <c r="A117" s="8">
        <v>14</v>
      </c>
      <c r="B117" s="8">
        <v>5</v>
      </c>
      <c r="C117" s="8">
        <v>6</v>
      </c>
      <c r="E117" s="8">
        <v>8</v>
      </c>
      <c r="F117" s="8">
        <v>5</v>
      </c>
      <c r="G117" s="8">
        <v>14</v>
      </c>
    </row>
    <row r="118" spans="1:10">
      <c r="A118" s="8">
        <v>15</v>
      </c>
      <c r="B118" s="8">
        <v>6</v>
      </c>
      <c r="C118" s="8">
        <v>7</v>
      </c>
      <c r="E118" s="8">
        <v>9</v>
      </c>
      <c r="F118" s="8">
        <v>6</v>
      </c>
      <c r="G118" s="8">
        <v>17</v>
      </c>
    </row>
    <row r="121" spans="1:10">
      <c r="B121" s="8" t="s">
        <v>277</v>
      </c>
    </row>
    <row r="122" spans="1:10">
      <c r="A122" s="10" t="s">
        <v>91</v>
      </c>
      <c r="B122" s="10" t="s">
        <v>129</v>
      </c>
      <c r="C122" s="10">
        <v>0</v>
      </c>
      <c r="D122" s="10">
        <v>1</v>
      </c>
      <c r="E122" s="10">
        <v>2</v>
      </c>
      <c r="F122" s="10">
        <v>3</v>
      </c>
      <c r="G122" s="10">
        <v>4</v>
      </c>
      <c r="H122" s="10">
        <v>5</v>
      </c>
      <c r="I122" s="10">
        <v>6</v>
      </c>
      <c r="J122" s="10">
        <v>7</v>
      </c>
    </row>
    <row r="123" spans="1:10">
      <c r="A123" s="10">
        <v>0</v>
      </c>
      <c r="B123" s="10">
        <v>0</v>
      </c>
      <c r="C123" s="12">
        <v>0</v>
      </c>
      <c r="D123" s="12">
        <v>0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</row>
    <row r="124" spans="1:10">
      <c r="A124" s="8">
        <v>100</v>
      </c>
      <c r="B124" s="8">
        <v>100</v>
      </c>
      <c r="C124" s="8">
        <v>0</v>
      </c>
      <c r="D124" s="12" t="s">
        <v>266</v>
      </c>
      <c r="E124" s="12" t="s">
        <v>266</v>
      </c>
      <c r="F124" s="12" t="s">
        <v>125</v>
      </c>
      <c r="G124" s="12" t="s">
        <v>125</v>
      </c>
      <c r="H124" s="12" t="s">
        <v>287</v>
      </c>
      <c r="I124" s="12" t="s">
        <v>287</v>
      </c>
      <c r="J124" s="12">
        <v>0</v>
      </c>
    </row>
    <row r="125" spans="1:10">
      <c r="A125" s="8">
        <v>101</v>
      </c>
      <c r="B125" s="8">
        <v>200</v>
      </c>
      <c r="C125" s="8">
        <v>0</v>
      </c>
      <c r="D125" s="12" t="s">
        <v>266</v>
      </c>
      <c r="E125" s="12" t="s">
        <v>125</v>
      </c>
      <c r="F125" s="12" t="s">
        <v>287</v>
      </c>
      <c r="G125" s="12" t="s">
        <v>43</v>
      </c>
      <c r="H125" s="12" t="s">
        <v>42</v>
      </c>
      <c r="I125" s="12" t="s">
        <v>281</v>
      </c>
      <c r="J125" s="12">
        <v>0</v>
      </c>
    </row>
    <row r="126" spans="1:10">
      <c r="A126" s="8">
        <v>201</v>
      </c>
      <c r="B126" s="8">
        <v>400</v>
      </c>
      <c r="C126" s="8">
        <v>0</v>
      </c>
      <c r="D126" s="12" t="s">
        <v>125</v>
      </c>
      <c r="E126" s="12" t="s">
        <v>43</v>
      </c>
      <c r="F126" s="12" t="s">
        <v>281</v>
      </c>
      <c r="G126" s="12" t="s">
        <v>387</v>
      </c>
      <c r="H126" s="12" t="s">
        <v>390</v>
      </c>
      <c r="I126" s="12" t="s">
        <v>112</v>
      </c>
      <c r="J126" s="12">
        <v>0</v>
      </c>
    </row>
    <row r="127" spans="1:10">
      <c r="A127" s="8">
        <v>401</v>
      </c>
      <c r="B127" s="8">
        <v>600</v>
      </c>
      <c r="C127" s="8">
        <v>0</v>
      </c>
      <c r="D127" s="12" t="s">
        <v>287</v>
      </c>
      <c r="E127" s="12" t="s">
        <v>281</v>
      </c>
      <c r="F127" s="12" t="s">
        <v>265</v>
      </c>
      <c r="G127" s="12" t="s">
        <v>112</v>
      </c>
      <c r="H127" s="12" t="s">
        <v>195</v>
      </c>
      <c r="I127" s="12" t="s">
        <v>118</v>
      </c>
      <c r="J127" s="12">
        <v>0</v>
      </c>
    </row>
    <row r="128" spans="1:10">
      <c r="A128" s="8">
        <v>601</v>
      </c>
      <c r="B128" s="8">
        <v>800</v>
      </c>
      <c r="C128" s="8">
        <v>0</v>
      </c>
      <c r="D128" s="12" t="s">
        <v>43</v>
      </c>
      <c r="E128" s="12" t="s">
        <v>387</v>
      </c>
      <c r="F128" s="12" t="s">
        <v>112</v>
      </c>
      <c r="G128" s="12" t="s">
        <v>158</v>
      </c>
      <c r="H128" s="12" t="s">
        <v>347</v>
      </c>
      <c r="I128" s="12" t="s">
        <v>31</v>
      </c>
      <c r="J128" s="12">
        <v>0</v>
      </c>
    </row>
    <row r="129" spans="1:29">
      <c r="A129" s="8">
        <v>801</v>
      </c>
      <c r="B129" s="8">
        <v>1000</v>
      </c>
      <c r="C129" s="8">
        <v>0</v>
      </c>
      <c r="D129" s="12" t="s">
        <v>42</v>
      </c>
      <c r="E129" s="12" t="s">
        <v>390</v>
      </c>
      <c r="F129" s="12" t="s">
        <v>195</v>
      </c>
      <c r="G129" s="12" t="s">
        <v>347</v>
      </c>
      <c r="H129" s="12" t="s">
        <v>30</v>
      </c>
      <c r="I129" s="12" t="s">
        <v>31</v>
      </c>
      <c r="J129" s="12">
        <v>0</v>
      </c>
    </row>
    <row r="130" spans="1:29">
      <c r="A130" s="8">
        <v>1001</v>
      </c>
      <c r="B130" s="8">
        <v>2000</v>
      </c>
      <c r="C130" s="8">
        <v>0</v>
      </c>
      <c r="D130" s="12" t="s">
        <v>265</v>
      </c>
      <c r="E130" s="12" t="s">
        <v>347</v>
      </c>
      <c r="F130" s="12" t="s">
        <v>31</v>
      </c>
      <c r="G130" s="12" t="s">
        <v>61</v>
      </c>
      <c r="H130" s="12" t="s">
        <v>149</v>
      </c>
      <c r="I130" s="12" t="s">
        <v>149</v>
      </c>
      <c r="J130" s="12">
        <v>0</v>
      </c>
    </row>
    <row r="131" spans="1:29">
      <c r="A131" s="8">
        <v>2001</v>
      </c>
      <c r="B131" s="8">
        <v>3000</v>
      </c>
      <c r="C131" s="8">
        <v>0</v>
      </c>
      <c r="D131" s="12" t="s">
        <v>195</v>
      </c>
      <c r="E131" s="12" t="s">
        <v>31</v>
      </c>
      <c r="F131" s="12" t="s">
        <v>149</v>
      </c>
      <c r="G131" s="12" t="s">
        <v>149</v>
      </c>
      <c r="H131" s="12">
        <v>0</v>
      </c>
      <c r="I131" s="12">
        <v>0</v>
      </c>
      <c r="J131" s="12">
        <v>0</v>
      </c>
    </row>
    <row r="132" spans="1:29">
      <c r="A132" s="8">
        <v>3001</v>
      </c>
      <c r="B132" s="8">
        <v>4000</v>
      </c>
      <c r="C132" s="8">
        <v>0</v>
      </c>
      <c r="D132" s="12" t="s">
        <v>347</v>
      </c>
      <c r="E132" s="12" t="s">
        <v>61</v>
      </c>
      <c r="F132" s="12" t="s">
        <v>149</v>
      </c>
      <c r="G132" s="12">
        <v>0</v>
      </c>
      <c r="H132" s="12">
        <v>0</v>
      </c>
      <c r="I132" s="12">
        <v>0</v>
      </c>
      <c r="J132" s="12">
        <v>0</v>
      </c>
    </row>
    <row r="133" spans="1:29">
      <c r="A133" s="8">
        <v>4001</v>
      </c>
      <c r="B133" s="8">
        <v>5000</v>
      </c>
      <c r="C133" s="8">
        <v>0</v>
      </c>
      <c r="D133" s="12" t="s">
        <v>30</v>
      </c>
      <c r="E133" s="12" t="s">
        <v>149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</row>
    <row r="134" spans="1:29">
      <c r="A134" s="8">
        <v>5001</v>
      </c>
      <c r="B134" s="8">
        <v>1000000</v>
      </c>
      <c r="C134" s="12">
        <v>0</v>
      </c>
      <c r="D134" s="12">
        <v>0</v>
      </c>
      <c r="E134" s="12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</row>
    <row r="137" spans="1:29">
      <c r="B137" s="8" t="s">
        <v>128</v>
      </c>
    </row>
    <row r="138" spans="1:29">
      <c r="A138" s="10" t="s">
        <v>91</v>
      </c>
      <c r="B138" s="10" t="s">
        <v>129</v>
      </c>
      <c r="C138" s="10">
        <v>0</v>
      </c>
      <c r="D138" s="10" t="s">
        <v>272</v>
      </c>
      <c r="E138" s="10" t="s">
        <v>273</v>
      </c>
      <c r="F138" s="10" t="s">
        <v>14</v>
      </c>
      <c r="G138" s="10" t="s">
        <v>236</v>
      </c>
      <c r="H138" s="10" t="s">
        <v>237</v>
      </c>
      <c r="I138" s="10" t="s">
        <v>9</v>
      </c>
      <c r="J138" s="10" t="s">
        <v>336</v>
      </c>
      <c r="K138" s="10" t="s">
        <v>10</v>
      </c>
      <c r="L138" s="10" t="s">
        <v>248</v>
      </c>
      <c r="M138" s="10" t="s">
        <v>303</v>
      </c>
      <c r="N138" s="10" t="s">
        <v>189</v>
      </c>
      <c r="O138" s="10" t="s">
        <v>355</v>
      </c>
      <c r="P138" s="10" t="s">
        <v>431</v>
      </c>
      <c r="Q138" s="10" t="s">
        <v>432</v>
      </c>
      <c r="R138" s="10" t="s">
        <v>199</v>
      </c>
      <c r="S138" s="10" t="s">
        <v>200</v>
      </c>
      <c r="T138" s="10" t="s">
        <v>365</v>
      </c>
      <c r="U138" s="10" t="s">
        <v>201</v>
      </c>
      <c r="V138" s="10" t="s">
        <v>331</v>
      </c>
      <c r="W138" s="10" t="s">
        <v>332</v>
      </c>
      <c r="X138" s="10" t="s">
        <v>234</v>
      </c>
      <c r="Y138" s="10" t="s">
        <v>333</v>
      </c>
      <c r="Z138" s="10" t="s">
        <v>334</v>
      </c>
      <c r="AA138" s="10" t="s">
        <v>335</v>
      </c>
      <c r="AB138" s="8" t="str">
        <f>""</f>
        <v/>
      </c>
    </row>
    <row r="139" spans="1:29">
      <c r="A139" s="10">
        <v>0</v>
      </c>
      <c r="B139" s="10">
        <v>0</v>
      </c>
      <c r="C139" s="12">
        <v>0</v>
      </c>
      <c r="D139" s="12">
        <v>0</v>
      </c>
      <c r="E139" s="12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12">
        <v>0</v>
      </c>
      <c r="Q139" s="12">
        <v>0</v>
      </c>
      <c r="R139" s="12">
        <v>0</v>
      </c>
      <c r="S139" s="12">
        <v>0</v>
      </c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12">
        <v>0</v>
      </c>
      <c r="AB139" s="8">
        <v>0</v>
      </c>
      <c r="AC139" s="8">
        <v>2</v>
      </c>
    </row>
    <row r="140" spans="1:29">
      <c r="A140" s="8">
        <v>1</v>
      </c>
      <c r="B140" s="8">
        <v>100</v>
      </c>
      <c r="C140" s="8">
        <v>0</v>
      </c>
      <c r="D140" s="12">
        <v>2</v>
      </c>
      <c r="E140" s="12">
        <v>4</v>
      </c>
      <c r="F140" s="12">
        <v>6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12">
        <v>0</v>
      </c>
      <c r="Q140" s="12">
        <v>0</v>
      </c>
      <c r="R140" s="12">
        <v>0</v>
      </c>
      <c r="S140" s="12">
        <v>0</v>
      </c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12">
        <v>0</v>
      </c>
      <c r="AB140" s="8">
        <v>0</v>
      </c>
      <c r="AC140" s="8">
        <f>AC139+1</f>
        <v>3</v>
      </c>
    </row>
    <row r="141" spans="1:29">
      <c r="A141" s="8">
        <v>101</v>
      </c>
      <c r="B141" s="8">
        <v>200</v>
      </c>
      <c r="C141" s="8">
        <v>0</v>
      </c>
      <c r="D141" s="12">
        <v>1</v>
      </c>
      <c r="E141" s="12">
        <v>2</v>
      </c>
      <c r="F141" s="12">
        <v>3</v>
      </c>
      <c r="G141" s="12">
        <v>4</v>
      </c>
      <c r="H141" s="12">
        <v>5</v>
      </c>
      <c r="I141" s="12">
        <v>6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12">
        <v>0</v>
      </c>
      <c r="Q141" s="12">
        <v>0</v>
      </c>
      <c r="R141" s="12">
        <v>0</v>
      </c>
      <c r="S141" s="12">
        <v>0</v>
      </c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12">
        <v>0</v>
      </c>
      <c r="AB141" s="8">
        <v>0</v>
      </c>
      <c r="AC141" s="8">
        <f t="shared" ref="AC141:AC150" si="4">AC140+1</f>
        <v>4</v>
      </c>
    </row>
    <row r="142" spans="1:29">
      <c r="A142" s="8">
        <v>201</v>
      </c>
      <c r="B142" s="8">
        <v>400</v>
      </c>
      <c r="C142" s="8">
        <v>0</v>
      </c>
      <c r="D142" s="12">
        <v>0</v>
      </c>
      <c r="E142" s="12">
        <v>1</v>
      </c>
      <c r="F142" s="12">
        <v>1</v>
      </c>
      <c r="G142" s="12">
        <v>2</v>
      </c>
      <c r="H142" s="12">
        <v>2</v>
      </c>
      <c r="I142" s="12">
        <v>3</v>
      </c>
      <c r="J142" s="12">
        <v>3</v>
      </c>
      <c r="K142" s="12">
        <v>4</v>
      </c>
      <c r="L142" s="12">
        <v>4</v>
      </c>
      <c r="M142" s="12">
        <v>5</v>
      </c>
      <c r="N142" s="12">
        <v>5</v>
      </c>
      <c r="O142" s="12">
        <v>6</v>
      </c>
      <c r="P142" s="12">
        <v>6</v>
      </c>
      <c r="Q142" s="12">
        <v>0</v>
      </c>
      <c r="R142" s="12">
        <v>0</v>
      </c>
      <c r="S142" s="12">
        <v>0</v>
      </c>
      <c r="T142" s="12">
        <v>0</v>
      </c>
      <c r="U142" s="12">
        <v>0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8">
        <v>0</v>
      </c>
      <c r="AC142" s="8">
        <f t="shared" si="4"/>
        <v>5</v>
      </c>
    </row>
    <row r="143" spans="1:29">
      <c r="A143" s="8">
        <v>401</v>
      </c>
      <c r="B143" s="8">
        <v>600</v>
      </c>
      <c r="C143" s="8">
        <v>0</v>
      </c>
      <c r="D143" s="12">
        <v>0</v>
      </c>
      <c r="E143" s="12">
        <v>0</v>
      </c>
      <c r="F143" s="12">
        <v>1</v>
      </c>
      <c r="G143" s="12">
        <v>1</v>
      </c>
      <c r="H143" s="12">
        <v>1</v>
      </c>
      <c r="I143" s="12">
        <v>2</v>
      </c>
      <c r="J143" s="12">
        <v>2</v>
      </c>
      <c r="K143" s="12">
        <v>2</v>
      </c>
      <c r="L143" s="12">
        <v>3</v>
      </c>
      <c r="M143" s="12">
        <v>3</v>
      </c>
      <c r="N143" s="12">
        <v>3</v>
      </c>
      <c r="O143" s="12">
        <v>4</v>
      </c>
      <c r="P143" s="12">
        <v>4</v>
      </c>
      <c r="Q143" s="12">
        <v>4</v>
      </c>
      <c r="R143" s="12">
        <v>5</v>
      </c>
      <c r="S143" s="12">
        <v>5</v>
      </c>
      <c r="T143" s="12">
        <v>5</v>
      </c>
      <c r="U143" s="12">
        <v>6</v>
      </c>
      <c r="V143" s="12">
        <v>6</v>
      </c>
      <c r="W143" s="12">
        <v>6</v>
      </c>
      <c r="X143" s="12">
        <v>0</v>
      </c>
      <c r="Y143" s="12">
        <v>0</v>
      </c>
      <c r="Z143" s="12">
        <v>0</v>
      </c>
      <c r="AA143" s="12">
        <v>0</v>
      </c>
      <c r="AB143" s="8">
        <v>0</v>
      </c>
      <c r="AC143" s="8">
        <f t="shared" si="4"/>
        <v>6</v>
      </c>
    </row>
    <row r="144" spans="1:29">
      <c r="A144" s="8">
        <v>601</v>
      </c>
      <c r="B144" s="8">
        <v>800</v>
      </c>
      <c r="C144" s="8">
        <v>0</v>
      </c>
      <c r="D144" s="12">
        <v>0</v>
      </c>
      <c r="E144" s="12">
        <v>0</v>
      </c>
      <c r="F144" s="12">
        <v>0</v>
      </c>
      <c r="G144" s="12">
        <v>1</v>
      </c>
      <c r="H144" s="12">
        <v>1</v>
      </c>
      <c r="I144" s="12">
        <v>1</v>
      </c>
      <c r="J144" s="12">
        <v>1</v>
      </c>
      <c r="K144" s="12">
        <v>2</v>
      </c>
      <c r="L144" s="12">
        <v>2</v>
      </c>
      <c r="M144" s="12">
        <v>2</v>
      </c>
      <c r="N144" s="12">
        <v>2</v>
      </c>
      <c r="O144" s="12">
        <v>3</v>
      </c>
      <c r="P144" s="12">
        <v>3</v>
      </c>
      <c r="Q144" s="12">
        <v>3</v>
      </c>
      <c r="R144" s="12">
        <v>3</v>
      </c>
      <c r="S144" s="12">
        <v>4</v>
      </c>
      <c r="T144" s="12">
        <v>4</v>
      </c>
      <c r="U144" s="12">
        <v>4</v>
      </c>
      <c r="V144" s="12">
        <v>4</v>
      </c>
      <c r="W144" s="12">
        <v>5</v>
      </c>
      <c r="X144" s="12">
        <v>5</v>
      </c>
      <c r="Y144" s="12">
        <v>6</v>
      </c>
      <c r="Z144" s="12">
        <v>6</v>
      </c>
      <c r="AA144" s="12">
        <v>6</v>
      </c>
      <c r="AB144" s="8">
        <v>0</v>
      </c>
      <c r="AC144" s="8">
        <f t="shared" si="4"/>
        <v>7</v>
      </c>
    </row>
    <row r="145" spans="1:29">
      <c r="A145" s="8">
        <v>801</v>
      </c>
      <c r="B145" s="8">
        <v>1000</v>
      </c>
      <c r="C145" s="8">
        <v>0</v>
      </c>
      <c r="D145" s="12">
        <v>0</v>
      </c>
      <c r="E145" s="12">
        <v>0</v>
      </c>
      <c r="F145" s="12">
        <v>0</v>
      </c>
      <c r="G145" s="12">
        <v>0</v>
      </c>
      <c r="H145" s="12">
        <v>1</v>
      </c>
      <c r="I145" s="12">
        <v>1</v>
      </c>
      <c r="J145" s="12">
        <v>1</v>
      </c>
      <c r="K145" s="12">
        <v>1</v>
      </c>
      <c r="L145" s="12">
        <v>1</v>
      </c>
      <c r="M145" s="12">
        <v>2</v>
      </c>
      <c r="N145" s="12">
        <v>2</v>
      </c>
      <c r="O145" s="12">
        <v>2</v>
      </c>
      <c r="P145" s="12">
        <v>2</v>
      </c>
      <c r="Q145" s="12">
        <v>2</v>
      </c>
      <c r="R145" s="12">
        <v>3</v>
      </c>
      <c r="S145" s="12">
        <v>3</v>
      </c>
      <c r="T145" s="12">
        <v>3</v>
      </c>
      <c r="U145" s="12">
        <v>3</v>
      </c>
      <c r="V145" s="12">
        <v>3</v>
      </c>
      <c r="W145" s="12">
        <v>4</v>
      </c>
      <c r="X145" s="12">
        <v>5</v>
      </c>
      <c r="Y145" s="12">
        <v>6</v>
      </c>
      <c r="Z145" s="12">
        <v>6</v>
      </c>
      <c r="AA145" s="12">
        <v>6</v>
      </c>
      <c r="AB145" s="8">
        <v>0</v>
      </c>
      <c r="AC145" s="8">
        <f t="shared" si="4"/>
        <v>8</v>
      </c>
    </row>
    <row r="146" spans="1:29">
      <c r="A146" s="8">
        <v>1001</v>
      </c>
      <c r="B146" s="8">
        <v>2000</v>
      </c>
      <c r="C146" s="8">
        <v>0</v>
      </c>
      <c r="D146" s="12">
        <v>0</v>
      </c>
      <c r="E146" s="12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1</v>
      </c>
      <c r="M146" s="12">
        <v>1</v>
      </c>
      <c r="N146" s="12">
        <v>1</v>
      </c>
      <c r="O146" s="12">
        <v>1</v>
      </c>
      <c r="P146" s="12">
        <v>1</v>
      </c>
      <c r="Q146" s="12">
        <v>1</v>
      </c>
      <c r="R146" s="12">
        <v>1</v>
      </c>
      <c r="S146" s="12">
        <v>1</v>
      </c>
      <c r="T146" s="12">
        <v>1</v>
      </c>
      <c r="U146" s="12">
        <v>1</v>
      </c>
      <c r="V146" s="12">
        <v>1</v>
      </c>
      <c r="W146" s="12">
        <v>2</v>
      </c>
      <c r="X146" s="12">
        <v>2</v>
      </c>
      <c r="Y146" s="12">
        <v>3</v>
      </c>
      <c r="Z146" s="12">
        <v>4</v>
      </c>
      <c r="AA146" s="12">
        <v>6</v>
      </c>
      <c r="AB146" s="8">
        <v>0</v>
      </c>
      <c r="AC146" s="8">
        <f t="shared" si="4"/>
        <v>9</v>
      </c>
    </row>
    <row r="147" spans="1:29">
      <c r="A147" s="8">
        <v>2001</v>
      </c>
      <c r="B147" s="8">
        <v>3000</v>
      </c>
      <c r="C147" s="8">
        <v>0</v>
      </c>
      <c r="D147" s="12">
        <v>0</v>
      </c>
      <c r="E147" s="12">
        <v>0</v>
      </c>
      <c r="F147" s="12">
        <v>0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2">
        <v>0</v>
      </c>
      <c r="N147" s="12">
        <v>0</v>
      </c>
      <c r="O147" s="12">
        <v>0</v>
      </c>
      <c r="P147" s="12">
        <v>0</v>
      </c>
      <c r="Q147" s="12">
        <v>0</v>
      </c>
      <c r="R147" s="12">
        <v>1</v>
      </c>
      <c r="S147" s="12">
        <v>1</v>
      </c>
      <c r="T147" s="12">
        <v>1</v>
      </c>
      <c r="U147" s="12">
        <v>1</v>
      </c>
      <c r="V147" s="12">
        <v>1</v>
      </c>
      <c r="W147" s="12">
        <v>1</v>
      </c>
      <c r="X147" s="12">
        <v>1</v>
      </c>
      <c r="Y147" s="12">
        <v>2</v>
      </c>
      <c r="Z147" s="12">
        <v>2</v>
      </c>
      <c r="AA147" s="12">
        <v>4</v>
      </c>
      <c r="AB147" s="8">
        <v>0</v>
      </c>
      <c r="AC147" s="8">
        <f t="shared" si="4"/>
        <v>10</v>
      </c>
    </row>
    <row r="148" spans="1:29">
      <c r="A148" s="8">
        <v>3001</v>
      </c>
      <c r="B148" s="8">
        <v>4000</v>
      </c>
      <c r="C148" s="8">
        <v>0</v>
      </c>
      <c r="D148" s="12">
        <v>0</v>
      </c>
      <c r="E148" s="12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2">
        <v>0</v>
      </c>
      <c r="P148" s="12">
        <v>0</v>
      </c>
      <c r="Q148" s="12">
        <v>0</v>
      </c>
      <c r="R148" s="12">
        <v>0</v>
      </c>
      <c r="S148" s="12">
        <v>0</v>
      </c>
      <c r="T148" s="12">
        <v>0</v>
      </c>
      <c r="U148" s="12">
        <v>0</v>
      </c>
      <c r="V148" s="12">
        <v>0</v>
      </c>
      <c r="W148" s="12">
        <v>1</v>
      </c>
      <c r="X148" s="12">
        <v>1</v>
      </c>
      <c r="Y148" s="12">
        <v>1</v>
      </c>
      <c r="Z148" s="12">
        <v>2</v>
      </c>
      <c r="AA148" s="12">
        <v>3</v>
      </c>
      <c r="AB148" s="8">
        <v>0</v>
      </c>
      <c r="AC148" s="8">
        <f t="shared" si="4"/>
        <v>11</v>
      </c>
    </row>
    <row r="149" spans="1:29">
      <c r="A149" s="8">
        <v>4001</v>
      </c>
      <c r="B149" s="8">
        <v>5000</v>
      </c>
      <c r="C149" s="8">
        <v>0</v>
      </c>
      <c r="D149" s="12">
        <v>0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12">
        <v>0</v>
      </c>
      <c r="Q149" s="12">
        <v>0</v>
      </c>
      <c r="R149" s="12">
        <v>0</v>
      </c>
      <c r="S149" s="12">
        <v>0</v>
      </c>
      <c r="T149" s="12">
        <v>0</v>
      </c>
      <c r="U149" s="12">
        <v>0</v>
      </c>
      <c r="V149" s="12">
        <v>0</v>
      </c>
      <c r="W149" s="12">
        <v>0</v>
      </c>
      <c r="X149" s="12">
        <v>1</v>
      </c>
      <c r="Y149" s="12">
        <v>1</v>
      </c>
      <c r="Z149" s="12">
        <v>1</v>
      </c>
      <c r="AA149" s="12">
        <v>2</v>
      </c>
      <c r="AB149" s="8">
        <v>0</v>
      </c>
      <c r="AC149" s="8">
        <f t="shared" si="4"/>
        <v>12</v>
      </c>
    </row>
    <row r="150" spans="1:29">
      <c r="A150" s="8">
        <v>5001</v>
      </c>
      <c r="B150" s="8">
        <v>1000000</v>
      </c>
      <c r="C150" s="12">
        <v>0</v>
      </c>
      <c r="D150" s="12">
        <v>0</v>
      </c>
      <c r="E150" s="12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12">
        <v>0</v>
      </c>
      <c r="Q150" s="12">
        <v>0</v>
      </c>
      <c r="R150" s="12">
        <v>0</v>
      </c>
      <c r="S150" s="12">
        <v>0</v>
      </c>
      <c r="T150" s="12">
        <v>0</v>
      </c>
      <c r="U150" s="12">
        <v>0</v>
      </c>
      <c r="V150" s="12">
        <v>0</v>
      </c>
      <c r="W150" s="12">
        <v>0</v>
      </c>
      <c r="X150" s="12">
        <v>0</v>
      </c>
      <c r="Y150" s="12">
        <v>0</v>
      </c>
      <c r="Z150" s="12">
        <v>0</v>
      </c>
      <c r="AA150" s="12">
        <v>0</v>
      </c>
      <c r="AB150" s="8">
        <v>0</v>
      </c>
      <c r="AC150" s="8">
        <f t="shared" si="4"/>
        <v>13</v>
      </c>
    </row>
    <row r="153" spans="1:29">
      <c r="B153" s="8" t="s">
        <v>340</v>
      </c>
    </row>
    <row r="154" spans="1:29">
      <c r="A154" s="10" t="s">
        <v>139</v>
      </c>
      <c r="B154" s="10" t="s">
        <v>310</v>
      </c>
      <c r="C154" s="10" t="s">
        <v>91</v>
      </c>
      <c r="D154" s="10" t="s">
        <v>55</v>
      </c>
      <c r="E154" s="10" t="s">
        <v>91</v>
      </c>
      <c r="F154" s="10" t="s">
        <v>55</v>
      </c>
      <c r="G154" s="10" t="s">
        <v>91</v>
      </c>
      <c r="H154" s="10" t="s">
        <v>55</v>
      </c>
      <c r="I154" s="10" t="s">
        <v>124</v>
      </c>
    </row>
    <row r="155" spans="1:29">
      <c r="A155" s="10">
        <v>0</v>
      </c>
      <c r="B155" s="10">
        <v>0</v>
      </c>
      <c r="C155" s="10">
        <v>-1</v>
      </c>
      <c r="D155" s="10">
        <v>-1</v>
      </c>
      <c r="E155" s="10">
        <v>-1</v>
      </c>
      <c r="F155" s="10">
        <v>-1</v>
      </c>
      <c r="G155" s="10">
        <v>-1</v>
      </c>
      <c r="H155" s="10">
        <v>-1</v>
      </c>
      <c r="I155" s="8">
        <v>0</v>
      </c>
    </row>
    <row r="156" spans="1:29">
      <c r="A156" s="12" t="s">
        <v>266</v>
      </c>
      <c r="B156" s="12">
        <v>9</v>
      </c>
      <c r="C156" s="8">
        <v>10</v>
      </c>
      <c r="D156" s="8">
        <v>10</v>
      </c>
      <c r="E156" s="8">
        <v>1</v>
      </c>
      <c r="F156" s="8">
        <v>4</v>
      </c>
      <c r="G156" s="8">
        <v>4</v>
      </c>
      <c r="H156" s="8">
        <v>8</v>
      </c>
      <c r="I156" s="8">
        <v>1</v>
      </c>
    </row>
    <row r="157" spans="1:29">
      <c r="A157" s="12" t="s">
        <v>125</v>
      </c>
      <c r="B157" s="12">
        <v>9</v>
      </c>
      <c r="C157" s="8">
        <f>C156+5</f>
        <v>15</v>
      </c>
      <c r="D157" s="8">
        <f>D156+10</f>
        <v>20</v>
      </c>
      <c r="E157" s="8">
        <f>E156+2</f>
        <v>3</v>
      </c>
      <c r="F157" s="8">
        <f>F156+4</f>
        <v>8</v>
      </c>
      <c r="G157" s="8">
        <f>G156+3</f>
        <v>7</v>
      </c>
      <c r="H157" s="8">
        <f>H156+8</f>
        <v>16</v>
      </c>
      <c r="I157" s="8">
        <v>2</v>
      </c>
    </row>
    <row r="158" spans="1:29">
      <c r="A158" s="12" t="s">
        <v>287</v>
      </c>
      <c r="B158" s="12">
        <v>9</v>
      </c>
      <c r="C158" s="8">
        <f t="shared" ref="C158:C179" si="5">C157+5</f>
        <v>20</v>
      </c>
      <c r="D158" s="8">
        <f t="shared" ref="D158:D179" si="6">D157+10</f>
        <v>30</v>
      </c>
      <c r="E158" s="8">
        <f t="shared" ref="E158:E179" si="7">E157+2</f>
        <v>5</v>
      </c>
      <c r="F158" s="8">
        <f t="shared" ref="F158:F179" si="8">F157+4</f>
        <v>12</v>
      </c>
      <c r="G158" s="8">
        <f t="shared" ref="G158:G179" si="9">G157+3</f>
        <v>10</v>
      </c>
      <c r="H158" s="8">
        <f t="shared" ref="H158:H179" si="10">H157+8</f>
        <v>24</v>
      </c>
      <c r="I158" s="8">
        <v>3</v>
      </c>
    </row>
    <row r="159" spans="1:29">
      <c r="A159" s="12" t="s">
        <v>43</v>
      </c>
      <c r="B159" s="12">
        <v>9</v>
      </c>
      <c r="C159" s="8">
        <f t="shared" si="5"/>
        <v>25</v>
      </c>
      <c r="D159" s="8">
        <f t="shared" si="6"/>
        <v>40</v>
      </c>
      <c r="E159" s="8">
        <f t="shared" si="7"/>
        <v>7</v>
      </c>
      <c r="F159" s="8">
        <f t="shared" si="8"/>
        <v>16</v>
      </c>
      <c r="G159" s="8">
        <f t="shared" si="9"/>
        <v>13</v>
      </c>
      <c r="H159" s="8">
        <f t="shared" si="10"/>
        <v>32</v>
      </c>
      <c r="I159" s="8">
        <v>4</v>
      </c>
    </row>
    <row r="160" spans="1:29">
      <c r="A160" s="12" t="s">
        <v>42</v>
      </c>
      <c r="B160" s="12">
        <v>10</v>
      </c>
      <c r="C160" s="8">
        <f t="shared" si="5"/>
        <v>30</v>
      </c>
      <c r="D160" s="8">
        <f t="shared" si="6"/>
        <v>50</v>
      </c>
      <c r="E160" s="8">
        <f t="shared" si="7"/>
        <v>9</v>
      </c>
      <c r="F160" s="8">
        <f t="shared" si="8"/>
        <v>20</v>
      </c>
      <c r="G160" s="8">
        <f t="shared" si="9"/>
        <v>16</v>
      </c>
      <c r="H160" s="8">
        <f t="shared" si="10"/>
        <v>40</v>
      </c>
      <c r="I160" s="8">
        <v>5</v>
      </c>
    </row>
    <row r="161" spans="1:9">
      <c r="A161" s="12" t="s">
        <v>281</v>
      </c>
      <c r="B161" s="12">
        <v>10</v>
      </c>
      <c r="C161" s="8">
        <f t="shared" si="5"/>
        <v>35</v>
      </c>
      <c r="D161" s="8">
        <f t="shared" si="6"/>
        <v>60</v>
      </c>
      <c r="E161" s="8">
        <f t="shared" si="7"/>
        <v>11</v>
      </c>
      <c r="F161" s="8">
        <f t="shared" si="8"/>
        <v>24</v>
      </c>
      <c r="G161" s="8">
        <f t="shared" si="9"/>
        <v>19</v>
      </c>
      <c r="H161" s="8">
        <f t="shared" si="10"/>
        <v>48</v>
      </c>
      <c r="I161" s="8">
        <v>6</v>
      </c>
    </row>
    <row r="162" spans="1:9">
      <c r="A162" s="12" t="s">
        <v>378</v>
      </c>
      <c r="B162" s="12">
        <v>10</v>
      </c>
      <c r="C162" s="8">
        <f t="shared" si="5"/>
        <v>40</v>
      </c>
      <c r="D162" s="8">
        <f t="shared" si="6"/>
        <v>70</v>
      </c>
      <c r="E162" s="8">
        <f t="shared" si="7"/>
        <v>13</v>
      </c>
      <c r="F162" s="8">
        <f t="shared" si="8"/>
        <v>28</v>
      </c>
      <c r="G162" s="8">
        <f t="shared" si="9"/>
        <v>22</v>
      </c>
      <c r="H162" s="8">
        <f t="shared" si="10"/>
        <v>56</v>
      </c>
      <c r="I162" s="8">
        <v>7</v>
      </c>
    </row>
    <row r="163" spans="1:9">
      <c r="A163" s="12" t="s">
        <v>387</v>
      </c>
      <c r="B163" s="12">
        <v>10</v>
      </c>
      <c r="C163" s="8">
        <f t="shared" si="5"/>
        <v>45</v>
      </c>
      <c r="D163" s="8">
        <f t="shared" si="6"/>
        <v>80</v>
      </c>
      <c r="E163" s="8">
        <f t="shared" si="7"/>
        <v>15</v>
      </c>
      <c r="F163" s="8">
        <f t="shared" si="8"/>
        <v>32</v>
      </c>
      <c r="G163" s="8">
        <f t="shared" si="9"/>
        <v>25</v>
      </c>
      <c r="H163" s="8">
        <f t="shared" si="10"/>
        <v>64</v>
      </c>
      <c r="I163" s="8">
        <v>8</v>
      </c>
    </row>
    <row r="164" spans="1:9">
      <c r="A164" s="12" t="s">
        <v>265</v>
      </c>
      <c r="B164" s="12">
        <v>11</v>
      </c>
      <c r="C164" s="8">
        <f t="shared" si="5"/>
        <v>50</v>
      </c>
      <c r="D164" s="8">
        <f t="shared" si="6"/>
        <v>90</v>
      </c>
      <c r="E164" s="8">
        <f t="shared" si="7"/>
        <v>17</v>
      </c>
      <c r="F164" s="8">
        <f t="shared" si="8"/>
        <v>36</v>
      </c>
      <c r="G164" s="8">
        <f t="shared" si="9"/>
        <v>28</v>
      </c>
      <c r="H164" s="8">
        <f t="shared" si="10"/>
        <v>72</v>
      </c>
      <c r="I164" s="8">
        <v>9</v>
      </c>
    </row>
    <row r="165" spans="1:9">
      <c r="A165" s="12" t="s">
        <v>390</v>
      </c>
      <c r="B165" s="12">
        <v>11</v>
      </c>
      <c r="C165" s="8">
        <f t="shared" si="5"/>
        <v>55</v>
      </c>
      <c r="D165" s="8">
        <f t="shared" si="6"/>
        <v>100</v>
      </c>
      <c r="E165" s="8">
        <f t="shared" si="7"/>
        <v>19</v>
      </c>
      <c r="F165" s="8">
        <f t="shared" si="8"/>
        <v>40</v>
      </c>
      <c r="G165" s="8">
        <f t="shared" si="9"/>
        <v>31</v>
      </c>
      <c r="H165" s="8">
        <f t="shared" si="10"/>
        <v>80</v>
      </c>
      <c r="I165" s="8">
        <v>10</v>
      </c>
    </row>
    <row r="166" spans="1:9">
      <c r="A166" s="12" t="s">
        <v>391</v>
      </c>
      <c r="B166" s="12">
        <v>12</v>
      </c>
      <c r="C166" s="8">
        <f t="shared" si="5"/>
        <v>60</v>
      </c>
      <c r="D166" s="8">
        <f t="shared" si="6"/>
        <v>110</v>
      </c>
      <c r="E166" s="8">
        <f t="shared" si="7"/>
        <v>21</v>
      </c>
      <c r="F166" s="8">
        <f t="shared" si="8"/>
        <v>44</v>
      </c>
      <c r="G166" s="8">
        <f t="shared" si="9"/>
        <v>34</v>
      </c>
      <c r="H166" s="8">
        <f t="shared" si="10"/>
        <v>88</v>
      </c>
      <c r="I166" s="8">
        <v>11</v>
      </c>
    </row>
    <row r="167" spans="1:9">
      <c r="A167" s="12" t="s">
        <v>112</v>
      </c>
      <c r="B167" s="12">
        <v>12</v>
      </c>
      <c r="C167" s="8">
        <f t="shared" si="5"/>
        <v>65</v>
      </c>
      <c r="D167" s="8">
        <f t="shared" si="6"/>
        <v>120</v>
      </c>
      <c r="E167" s="8">
        <f t="shared" si="7"/>
        <v>23</v>
      </c>
      <c r="F167" s="8">
        <f t="shared" si="8"/>
        <v>48</v>
      </c>
      <c r="G167" s="8">
        <f t="shared" si="9"/>
        <v>37</v>
      </c>
      <c r="H167" s="8">
        <f t="shared" si="10"/>
        <v>96</v>
      </c>
      <c r="I167" s="8">
        <v>12</v>
      </c>
    </row>
    <row r="168" spans="1:9">
      <c r="A168" s="12" t="s">
        <v>370</v>
      </c>
      <c r="B168" s="12">
        <v>12</v>
      </c>
      <c r="C168" s="8">
        <f t="shared" si="5"/>
        <v>70</v>
      </c>
      <c r="D168" s="8">
        <f t="shared" si="6"/>
        <v>130</v>
      </c>
      <c r="E168" s="8">
        <f t="shared" si="7"/>
        <v>25</v>
      </c>
      <c r="F168" s="8">
        <f t="shared" si="8"/>
        <v>52</v>
      </c>
      <c r="G168" s="8">
        <f t="shared" si="9"/>
        <v>40</v>
      </c>
      <c r="H168" s="8">
        <f t="shared" si="10"/>
        <v>104</v>
      </c>
      <c r="I168" s="8">
        <v>13</v>
      </c>
    </row>
    <row r="169" spans="1:9">
      <c r="A169" s="12" t="s">
        <v>371</v>
      </c>
      <c r="B169" s="12">
        <v>13</v>
      </c>
      <c r="C169" s="8">
        <f t="shared" si="5"/>
        <v>75</v>
      </c>
      <c r="D169" s="8">
        <f t="shared" si="6"/>
        <v>140</v>
      </c>
      <c r="E169" s="8">
        <f t="shared" si="7"/>
        <v>27</v>
      </c>
      <c r="F169" s="8">
        <f t="shared" si="8"/>
        <v>56</v>
      </c>
      <c r="G169" s="8">
        <f t="shared" si="9"/>
        <v>43</v>
      </c>
      <c r="H169" s="8">
        <f t="shared" si="10"/>
        <v>112</v>
      </c>
      <c r="I169" s="8">
        <v>14</v>
      </c>
    </row>
    <row r="170" spans="1:9">
      <c r="A170" s="12" t="s">
        <v>195</v>
      </c>
      <c r="B170" s="12">
        <v>13</v>
      </c>
      <c r="C170" s="8">
        <f t="shared" si="5"/>
        <v>80</v>
      </c>
      <c r="D170" s="8">
        <f t="shared" si="6"/>
        <v>150</v>
      </c>
      <c r="E170" s="8">
        <f t="shared" si="7"/>
        <v>29</v>
      </c>
      <c r="F170" s="8">
        <f t="shared" si="8"/>
        <v>60</v>
      </c>
      <c r="G170" s="8">
        <f t="shared" si="9"/>
        <v>46</v>
      </c>
      <c r="H170" s="8">
        <f t="shared" si="10"/>
        <v>120</v>
      </c>
      <c r="I170" s="8">
        <v>15</v>
      </c>
    </row>
    <row r="171" spans="1:9">
      <c r="A171" s="12" t="s">
        <v>158</v>
      </c>
      <c r="B171" s="12">
        <v>14</v>
      </c>
      <c r="C171" s="8">
        <f t="shared" si="5"/>
        <v>85</v>
      </c>
      <c r="D171" s="8">
        <f t="shared" si="6"/>
        <v>160</v>
      </c>
      <c r="E171" s="8">
        <f t="shared" si="7"/>
        <v>31</v>
      </c>
      <c r="F171" s="8">
        <f t="shared" si="8"/>
        <v>64</v>
      </c>
      <c r="G171" s="8">
        <f t="shared" si="9"/>
        <v>49</v>
      </c>
      <c r="H171" s="8">
        <f t="shared" si="10"/>
        <v>128</v>
      </c>
      <c r="I171" s="8">
        <v>16</v>
      </c>
    </row>
    <row r="172" spans="1:9">
      <c r="A172" s="12" t="s">
        <v>385</v>
      </c>
      <c r="B172" s="12">
        <v>14</v>
      </c>
      <c r="C172" s="8">
        <f t="shared" si="5"/>
        <v>90</v>
      </c>
      <c r="D172" s="8">
        <f t="shared" si="6"/>
        <v>170</v>
      </c>
      <c r="E172" s="8">
        <f t="shared" si="7"/>
        <v>33</v>
      </c>
      <c r="F172" s="8">
        <f t="shared" si="8"/>
        <v>68</v>
      </c>
      <c r="G172" s="8">
        <f t="shared" si="9"/>
        <v>52</v>
      </c>
      <c r="H172" s="8">
        <f t="shared" si="10"/>
        <v>136</v>
      </c>
      <c r="I172" s="8">
        <v>17</v>
      </c>
    </row>
    <row r="173" spans="1:9">
      <c r="A173" s="12" t="s">
        <v>118</v>
      </c>
      <c r="B173" s="12">
        <v>14</v>
      </c>
      <c r="C173" s="8">
        <f t="shared" si="5"/>
        <v>95</v>
      </c>
      <c r="D173" s="8">
        <f t="shared" si="6"/>
        <v>180</v>
      </c>
      <c r="E173" s="8">
        <f t="shared" si="7"/>
        <v>35</v>
      </c>
      <c r="F173" s="8">
        <f t="shared" si="8"/>
        <v>72</v>
      </c>
      <c r="G173" s="8">
        <f t="shared" si="9"/>
        <v>55</v>
      </c>
      <c r="H173" s="8">
        <f t="shared" si="10"/>
        <v>144</v>
      </c>
      <c r="I173" s="8">
        <v>18</v>
      </c>
    </row>
    <row r="174" spans="1:9">
      <c r="A174" s="12" t="s">
        <v>346</v>
      </c>
      <c r="B174" s="12">
        <v>14</v>
      </c>
      <c r="C174" s="8">
        <f t="shared" si="5"/>
        <v>100</v>
      </c>
      <c r="D174" s="8">
        <f t="shared" si="6"/>
        <v>190</v>
      </c>
      <c r="E174" s="8">
        <f t="shared" si="7"/>
        <v>37</v>
      </c>
      <c r="F174" s="8">
        <f t="shared" si="8"/>
        <v>76</v>
      </c>
      <c r="G174" s="8">
        <f t="shared" si="9"/>
        <v>58</v>
      </c>
      <c r="H174" s="8">
        <f t="shared" si="10"/>
        <v>152</v>
      </c>
      <c r="I174" s="8">
        <v>19</v>
      </c>
    </row>
    <row r="175" spans="1:9">
      <c r="A175" s="12" t="s">
        <v>347</v>
      </c>
      <c r="B175" s="12">
        <v>15</v>
      </c>
      <c r="C175" s="8">
        <f t="shared" si="5"/>
        <v>105</v>
      </c>
      <c r="D175" s="8">
        <f t="shared" si="6"/>
        <v>200</v>
      </c>
      <c r="E175" s="8">
        <f t="shared" si="7"/>
        <v>39</v>
      </c>
      <c r="F175" s="8">
        <f t="shared" si="8"/>
        <v>80</v>
      </c>
      <c r="G175" s="8">
        <f t="shared" si="9"/>
        <v>61</v>
      </c>
      <c r="H175" s="8">
        <f t="shared" si="10"/>
        <v>160</v>
      </c>
      <c r="I175" s="8">
        <v>20</v>
      </c>
    </row>
    <row r="176" spans="1:9">
      <c r="A176" s="12" t="s">
        <v>30</v>
      </c>
      <c r="B176" s="12">
        <v>15</v>
      </c>
      <c r="C176" s="8">
        <f t="shared" si="5"/>
        <v>110</v>
      </c>
      <c r="D176" s="8">
        <f t="shared" si="6"/>
        <v>210</v>
      </c>
      <c r="E176" s="8">
        <f t="shared" si="7"/>
        <v>41</v>
      </c>
      <c r="F176" s="8">
        <f t="shared" si="8"/>
        <v>84</v>
      </c>
      <c r="G176" s="8">
        <f t="shared" si="9"/>
        <v>64</v>
      </c>
      <c r="H176" s="8">
        <f t="shared" si="10"/>
        <v>168</v>
      </c>
      <c r="I176" s="8">
        <v>21</v>
      </c>
    </row>
    <row r="177" spans="1:9">
      <c r="A177" s="12" t="s">
        <v>31</v>
      </c>
      <c r="B177" s="12">
        <v>15</v>
      </c>
      <c r="C177" s="8">
        <f t="shared" si="5"/>
        <v>115</v>
      </c>
      <c r="D177" s="8">
        <f t="shared" si="6"/>
        <v>220</v>
      </c>
      <c r="E177" s="8">
        <f t="shared" si="7"/>
        <v>43</v>
      </c>
      <c r="F177" s="8">
        <f t="shared" si="8"/>
        <v>88</v>
      </c>
      <c r="G177" s="8">
        <f t="shared" si="9"/>
        <v>67</v>
      </c>
      <c r="H177" s="8">
        <f t="shared" si="10"/>
        <v>176</v>
      </c>
      <c r="I177" s="8">
        <v>22</v>
      </c>
    </row>
    <row r="178" spans="1:9">
      <c r="A178" s="12" t="s">
        <v>61</v>
      </c>
      <c r="B178" s="12">
        <v>15</v>
      </c>
      <c r="C178" s="8">
        <f t="shared" si="5"/>
        <v>120</v>
      </c>
      <c r="D178" s="8">
        <f t="shared" si="6"/>
        <v>230</v>
      </c>
      <c r="E178" s="8">
        <f t="shared" si="7"/>
        <v>45</v>
      </c>
      <c r="F178" s="8">
        <f t="shared" si="8"/>
        <v>92</v>
      </c>
      <c r="G178" s="8">
        <f t="shared" si="9"/>
        <v>70</v>
      </c>
      <c r="H178" s="8">
        <f t="shared" si="10"/>
        <v>184</v>
      </c>
      <c r="I178" s="8">
        <v>23</v>
      </c>
    </row>
    <row r="179" spans="1:9">
      <c r="A179" s="12" t="s">
        <v>149</v>
      </c>
      <c r="B179" s="12">
        <v>15</v>
      </c>
      <c r="C179" s="8">
        <f t="shared" si="5"/>
        <v>125</v>
      </c>
      <c r="D179" s="8">
        <f t="shared" si="6"/>
        <v>240</v>
      </c>
      <c r="E179" s="8">
        <f t="shared" si="7"/>
        <v>47</v>
      </c>
      <c r="F179" s="8">
        <f t="shared" si="8"/>
        <v>96</v>
      </c>
      <c r="G179" s="8">
        <f t="shared" si="9"/>
        <v>73</v>
      </c>
      <c r="H179" s="8">
        <f t="shared" si="10"/>
        <v>192</v>
      </c>
      <c r="I179" s="8">
        <v>24</v>
      </c>
    </row>
    <row r="182" spans="1:9">
      <c r="B182" s="8" t="s">
        <v>311</v>
      </c>
    </row>
    <row r="183" spans="1:9">
      <c r="A183" s="10" t="s">
        <v>310</v>
      </c>
      <c r="B183" s="10" t="s">
        <v>91</v>
      </c>
      <c r="C183" s="10" t="s">
        <v>313</v>
      </c>
      <c r="D183" s="10" t="s">
        <v>55</v>
      </c>
    </row>
    <row r="184" spans="1:9">
      <c r="A184" s="8">
        <v>0</v>
      </c>
      <c r="B184" s="11">
        <v>0.1</v>
      </c>
      <c r="C184" s="8">
        <v>20</v>
      </c>
      <c r="D184" s="8">
        <v>5000</v>
      </c>
    </row>
    <row r="185" spans="1:9">
      <c r="A185" s="8">
        <v>8</v>
      </c>
      <c r="B185" s="13">
        <v>0.05</v>
      </c>
      <c r="C185" s="8">
        <v>10</v>
      </c>
      <c r="D185" s="8">
        <v>4000</v>
      </c>
    </row>
    <row r="186" spans="1:9">
      <c r="A186" s="8">
        <v>9</v>
      </c>
      <c r="B186" s="13">
        <v>4.4999999999999998E-2</v>
      </c>
      <c r="C186" s="8">
        <v>9</v>
      </c>
      <c r="D186" s="8">
        <v>4222</v>
      </c>
    </row>
    <row r="187" spans="1:9">
      <c r="A187" s="8">
        <v>10</v>
      </c>
      <c r="B187" s="13">
        <v>0.04</v>
      </c>
      <c r="C187" s="8">
        <v>8</v>
      </c>
      <c r="D187" s="8">
        <v>4500</v>
      </c>
    </row>
    <row r="188" spans="1:9">
      <c r="A188" s="8">
        <v>11</v>
      </c>
      <c r="B188" s="13">
        <v>3.5000000000000003E-2</v>
      </c>
      <c r="C188" s="8">
        <v>7</v>
      </c>
      <c r="D188" s="8">
        <v>4857</v>
      </c>
    </row>
    <row r="189" spans="1:9">
      <c r="A189" s="8">
        <v>12</v>
      </c>
      <c r="B189" s="13">
        <v>0.03</v>
      </c>
      <c r="C189" s="8">
        <v>6</v>
      </c>
      <c r="D189" s="8">
        <v>5333</v>
      </c>
    </row>
    <row r="190" spans="1:9">
      <c r="A190" s="8">
        <v>13</v>
      </c>
      <c r="B190" s="13">
        <v>2.5000000000000001E-2</v>
      </c>
      <c r="C190" s="8">
        <v>5</v>
      </c>
      <c r="D190" s="8">
        <v>6000</v>
      </c>
    </row>
    <row r="191" spans="1:9">
      <c r="A191" s="8">
        <v>14</v>
      </c>
      <c r="B191" s="13">
        <v>0.02</v>
      </c>
      <c r="C191" s="8">
        <v>4</v>
      </c>
      <c r="D191" s="8">
        <v>7000</v>
      </c>
    </row>
    <row r="192" spans="1:9">
      <c r="A192" s="8">
        <v>15</v>
      </c>
      <c r="B192" s="13">
        <v>1.4999999999999999E-2</v>
      </c>
      <c r="C192" s="8">
        <v>3</v>
      </c>
      <c r="D192" s="8">
        <v>10000</v>
      </c>
    </row>
    <row r="195" spans="1:11">
      <c r="B195" s="8" t="s">
        <v>314</v>
      </c>
    </row>
    <row r="196" spans="1:11">
      <c r="A196" s="10" t="s">
        <v>91</v>
      </c>
      <c r="B196" s="10" t="s">
        <v>91</v>
      </c>
      <c r="C196" s="10" t="s">
        <v>313</v>
      </c>
      <c r="D196" s="10" t="s">
        <v>55</v>
      </c>
    </row>
    <row r="197" spans="1:11">
      <c r="A197" s="8">
        <v>0</v>
      </c>
      <c r="B197" s="11">
        <v>0.2</v>
      </c>
      <c r="C197" s="8">
        <v>4</v>
      </c>
      <c r="D197" s="8">
        <v>25000</v>
      </c>
    </row>
    <row r="198" spans="1:11">
      <c r="A198" s="8">
        <v>100</v>
      </c>
      <c r="B198" s="11">
        <v>0.02</v>
      </c>
      <c r="C198" s="8">
        <v>20</v>
      </c>
      <c r="D198" s="8">
        <v>5000</v>
      </c>
    </row>
    <row r="201" spans="1:11">
      <c r="B201" s="8" t="s">
        <v>343</v>
      </c>
    </row>
    <row r="202" spans="1:11">
      <c r="A202" s="10" t="s">
        <v>310</v>
      </c>
      <c r="B202" s="10" t="s">
        <v>342</v>
      </c>
      <c r="C202" s="10" t="s">
        <v>84</v>
      </c>
      <c r="D202" s="10" t="s">
        <v>139</v>
      </c>
      <c r="E202" s="10" t="s">
        <v>91</v>
      </c>
      <c r="F202" s="10" t="s">
        <v>55</v>
      </c>
      <c r="G202" s="10" t="s">
        <v>139</v>
      </c>
      <c r="H202" s="10" t="s">
        <v>91</v>
      </c>
      <c r="I202" s="10" t="s">
        <v>55</v>
      </c>
      <c r="J202" s="10" t="s">
        <v>85</v>
      </c>
      <c r="K202" s="10" t="s">
        <v>203</v>
      </c>
    </row>
    <row r="203" spans="1:11">
      <c r="A203" s="8">
        <v>-10</v>
      </c>
      <c r="B203" s="8">
        <v>-10</v>
      </c>
      <c r="C203" s="14">
        <v>-10</v>
      </c>
      <c r="D203" s="12" t="s">
        <v>90</v>
      </c>
      <c r="E203" s="8">
        <v>-1</v>
      </c>
      <c r="F203" s="8">
        <v>-1</v>
      </c>
      <c r="G203" s="12" t="str">
        <f>"-"</f>
        <v>-</v>
      </c>
      <c r="H203" s="8">
        <v>-1</v>
      </c>
      <c r="I203" s="8">
        <v>-1</v>
      </c>
      <c r="J203" s="8">
        <v>0</v>
      </c>
      <c r="K203" s="12">
        <v>0</v>
      </c>
    </row>
    <row r="204" spans="1:11">
      <c r="A204" s="8">
        <v>0</v>
      </c>
      <c r="B204" s="8">
        <v>0</v>
      </c>
      <c r="C204" s="14">
        <v>0</v>
      </c>
      <c r="D204" s="12" t="str">
        <f>TEXT(C204,0)</f>
        <v>0</v>
      </c>
      <c r="E204" s="8">
        <v>0</v>
      </c>
      <c r="F204" s="8">
        <v>0</v>
      </c>
      <c r="G204" s="12">
        <v>0</v>
      </c>
      <c r="H204" s="8">
        <v>0</v>
      </c>
      <c r="I204" s="8">
        <v>0</v>
      </c>
      <c r="J204" s="8">
        <v>0</v>
      </c>
      <c r="K204" s="12">
        <v>0</v>
      </c>
    </row>
    <row r="205" spans="1:11">
      <c r="A205" s="8">
        <v>5</v>
      </c>
      <c r="B205" s="8">
        <v>1</v>
      </c>
      <c r="C205" s="14">
        <v>1</v>
      </c>
      <c r="D205" s="12" t="str">
        <f>TEXT(C205,0)</f>
        <v>1</v>
      </c>
      <c r="E205" s="8">
        <v>1</v>
      </c>
      <c r="F205" s="8">
        <v>2</v>
      </c>
      <c r="G205" s="12" t="str">
        <f>VLOOKUP(C205+9,B5:C38,2)</f>
        <v>A</v>
      </c>
      <c r="H205" s="8">
        <v>2</v>
      </c>
      <c r="I205" s="8">
        <v>3</v>
      </c>
      <c r="J205" s="8">
        <v>0</v>
      </c>
      <c r="K205" s="12">
        <v>1</v>
      </c>
    </row>
    <row r="206" spans="1:11">
      <c r="A206" s="8">
        <v>6</v>
      </c>
      <c r="B206" s="8">
        <v>2</v>
      </c>
      <c r="C206" s="14">
        <v>1.01</v>
      </c>
      <c r="D206" s="12" t="s">
        <v>158</v>
      </c>
      <c r="E206" s="8">
        <v>1</v>
      </c>
      <c r="F206" s="8">
        <v>4</v>
      </c>
      <c r="G206" s="12" t="str">
        <f>"-"</f>
        <v>-</v>
      </c>
      <c r="H206" s="8">
        <v>-1</v>
      </c>
      <c r="I206" s="8">
        <v>-1</v>
      </c>
      <c r="J206" s="8">
        <v>0</v>
      </c>
      <c r="K206" s="12" t="s">
        <v>269</v>
      </c>
    </row>
    <row r="207" spans="1:11">
      <c r="A207" s="8">
        <v>7</v>
      </c>
      <c r="B207" s="8">
        <v>2.5</v>
      </c>
      <c r="C207" s="14">
        <v>2</v>
      </c>
      <c r="D207" s="12" t="str">
        <f>TEXT(C207,0)</f>
        <v>2</v>
      </c>
      <c r="E207" s="8">
        <v>2</v>
      </c>
      <c r="F207" s="8">
        <v>9</v>
      </c>
      <c r="G207" s="12" t="str">
        <f>VLOOKUP(C207+9,B7:C40,2)</f>
        <v>B</v>
      </c>
      <c r="H207" s="8">
        <v>4</v>
      </c>
      <c r="I207" s="8">
        <v>14</v>
      </c>
      <c r="J207" s="8">
        <v>0</v>
      </c>
      <c r="K207" s="12">
        <v>2</v>
      </c>
    </row>
    <row r="208" spans="1:11">
      <c r="A208" s="8">
        <v>8</v>
      </c>
      <c r="B208" s="8">
        <v>3</v>
      </c>
      <c r="C208" s="14">
        <v>2.0099999999999998</v>
      </c>
      <c r="D208" s="12" t="s">
        <v>385</v>
      </c>
      <c r="E208" s="8">
        <v>2</v>
      </c>
      <c r="F208" s="8">
        <v>18</v>
      </c>
      <c r="G208" s="12" t="str">
        <f>"-"</f>
        <v>-</v>
      </c>
      <c r="H208" s="8">
        <v>-1</v>
      </c>
      <c r="I208" s="8">
        <v>-1</v>
      </c>
      <c r="J208" s="8">
        <v>0</v>
      </c>
      <c r="K208" s="12" t="s">
        <v>270</v>
      </c>
    </row>
    <row r="209" spans="1:14">
      <c r="A209" s="8">
        <v>9</v>
      </c>
      <c r="B209" s="8">
        <v>3.5</v>
      </c>
      <c r="C209" s="14">
        <v>3</v>
      </c>
      <c r="D209" s="12" t="str">
        <f t="shared" ref="D209:D215" si="11">TEXT(C209,0)</f>
        <v>3</v>
      </c>
      <c r="E209" s="8">
        <v>3</v>
      </c>
      <c r="F209" s="8">
        <v>18</v>
      </c>
      <c r="G209" s="12" t="str">
        <f t="shared" ref="G209:G215" si="12">VLOOKUP(C209+9,B9:C42,2)</f>
        <v>C</v>
      </c>
      <c r="H209" s="8">
        <v>6</v>
      </c>
      <c r="I209" s="8">
        <v>27</v>
      </c>
      <c r="J209" s="8">
        <v>1</v>
      </c>
      <c r="K209" s="12">
        <v>3</v>
      </c>
    </row>
    <row r="210" spans="1:14">
      <c r="A210" s="8">
        <v>10</v>
      </c>
      <c r="B210" s="8">
        <v>4</v>
      </c>
      <c r="C210" s="14">
        <f t="shared" ref="C210:C215" si="13">C209+1</f>
        <v>4</v>
      </c>
      <c r="D210" s="12" t="str">
        <f t="shared" si="11"/>
        <v>4</v>
      </c>
      <c r="E210" s="8">
        <v>4</v>
      </c>
      <c r="F210" s="8">
        <v>30</v>
      </c>
      <c r="G210" s="12" t="str">
        <f t="shared" si="12"/>
        <v>D</v>
      </c>
      <c r="H210" s="8">
        <v>8</v>
      </c>
      <c r="I210" s="8">
        <v>45</v>
      </c>
      <c r="J210" s="8">
        <v>2</v>
      </c>
      <c r="K210" s="12">
        <v>4</v>
      </c>
    </row>
    <row r="211" spans="1:14">
      <c r="A211" s="8">
        <v>11</v>
      </c>
      <c r="B211" s="8">
        <v>5</v>
      </c>
      <c r="C211" s="14">
        <f t="shared" si="13"/>
        <v>5</v>
      </c>
      <c r="D211" s="12" t="str">
        <f t="shared" si="11"/>
        <v>5</v>
      </c>
      <c r="E211" s="8">
        <v>5</v>
      </c>
      <c r="F211" s="8">
        <v>45</v>
      </c>
      <c r="G211" s="12" t="str">
        <f t="shared" si="12"/>
        <v>E</v>
      </c>
      <c r="H211" s="8">
        <v>10</v>
      </c>
      <c r="I211" s="8">
        <v>68</v>
      </c>
      <c r="J211" s="8">
        <v>3</v>
      </c>
      <c r="K211" s="12">
        <v>5</v>
      </c>
    </row>
    <row r="212" spans="1:14">
      <c r="A212" s="8">
        <v>12</v>
      </c>
      <c r="B212" s="8">
        <v>6</v>
      </c>
      <c r="C212" s="14">
        <f t="shared" si="13"/>
        <v>6</v>
      </c>
      <c r="D212" s="12" t="str">
        <f t="shared" si="11"/>
        <v>6</v>
      </c>
      <c r="E212" s="8">
        <v>7</v>
      </c>
      <c r="F212" s="8">
        <v>55</v>
      </c>
      <c r="G212" s="12" t="str">
        <f t="shared" si="12"/>
        <v>F</v>
      </c>
      <c r="H212" s="8">
        <v>14</v>
      </c>
      <c r="I212" s="8">
        <v>83</v>
      </c>
      <c r="J212" s="8">
        <v>5</v>
      </c>
      <c r="K212" s="12">
        <v>6</v>
      </c>
    </row>
    <row r="213" spans="1:14">
      <c r="A213" s="8">
        <v>13</v>
      </c>
      <c r="B213" s="8">
        <v>7</v>
      </c>
      <c r="C213" s="14">
        <f t="shared" si="13"/>
        <v>7</v>
      </c>
      <c r="D213" s="12" t="str">
        <f t="shared" si="11"/>
        <v>7</v>
      </c>
      <c r="E213" s="8">
        <v>9</v>
      </c>
      <c r="F213" s="8">
        <v>80</v>
      </c>
      <c r="G213" s="12" t="str">
        <f t="shared" si="12"/>
        <v>G</v>
      </c>
      <c r="H213" s="8">
        <v>18</v>
      </c>
      <c r="I213" s="8">
        <v>100</v>
      </c>
      <c r="J213" s="8">
        <v>7</v>
      </c>
      <c r="K213" s="12">
        <v>7</v>
      </c>
    </row>
    <row r="214" spans="1:14">
      <c r="A214" s="8">
        <v>14</v>
      </c>
      <c r="B214" s="8">
        <v>8</v>
      </c>
      <c r="C214" s="14">
        <f t="shared" si="13"/>
        <v>8</v>
      </c>
      <c r="D214" s="12" t="str">
        <f t="shared" si="11"/>
        <v>8</v>
      </c>
      <c r="E214" s="8">
        <v>11</v>
      </c>
      <c r="F214" s="8">
        <v>110</v>
      </c>
      <c r="G214" s="12" t="str">
        <f t="shared" si="12"/>
        <v>H</v>
      </c>
      <c r="H214" s="8">
        <v>22</v>
      </c>
      <c r="I214" s="8">
        <v>140</v>
      </c>
      <c r="J214" s="8">
        <v>9</v>
      </c>
      <c r="K214" s="12">
        <v>8</v>
      </c>
    </row>
    <row r="215" spans="1:14">
      <c r="A215" s="8">
        <v>15</v>
      </c>
      <c r="B215" s="8">
        <v>9</v>
      </c>
      <c r="C215" s="14">
        <f t="shared" si="13"/>
        <v>9</v>
      </c>
      <c r="D215" s="12" t="str">
        <f t="shared" si="11"/>
        <v>9</v>
      </c>
      <c r="E215" s="8">
        <v>13</v>
      </c>
      <c r="F215" s="8">
        <v>140</v>
      </c>
      <c r="G215" s="12" t="str">
        <f t="shared" si="12"/>
        <v>J</v>
      </c>
      <c r="H215" s="8">
        <v>26</v>
      </c>
      <c r="I215" s="8">
        <v>200</v>
      </c>
      <c r="J215" s="8">
        <v>12</v>
      </c>
      <c r="K215" s="12">
        <v>9</v>
      </c>
    </row>
    <row r="216" spans="1:14">
      <c r="C216" s="14"/>
    </row>
    <row r="217" spans="1:14">
      <c r="C217" s="14"/>
    </row>
    <row r="218" spans="1:14">
      <c r="A218" s="10" t="s">
        <v>292</v>
      </c>
      <c r="C218" s="14"/>
    </row>
    <row r="219" spans="1:14">
      <c r="A219" s="8">
        <v>-1</v>
      </c>
      <c r="C219" s="14"/>
    </row>
    <row r="220" spans="1:14">
      <c r="A220" s="8">
        <v>0</v>
      </c>
      <c r="C220" s="14"/>
    </row>
    <row r="221" spans="1:14">
      <c r="A221" s="8">
        <v>1</v>
      </c>
      <c r="C221" s="14"/>
    </row>
    <row r="222" spans="1:14">
      <c r="C222" s="14"/>
    </row>
    <row r="223" spans="1:14">
      <c r="C223" s="14"/>
    </row>
    <row r="224" spans="1:14">
      <c r="B224" s="8" t="s">
        <v>152</v>
      </c>
      <c r="C224" s="14"/>
      <c r="H224" s="8" t="s">
        <v>56</v>
      </c>
      <c r="N224" s="8" t="s">
        <v>63</v>
      </c>
    </row>
    <row r="225" spans="1:16">
      <c r="A225" s="10" t="s">
        <v>310</v>
      </c>
      <c r="B225" s="10" t="s">
        <v>139</v>
      </c>
      <c r="C225" s="10" t="s">
        <v>91</v>
      </c>
      <c r="D225" s="10" t="s">
        <v>55</v>
      </c>
      <c r="E225" s="10" t="s">
        <v>85</v>
      </c>
      <c r="G225" s="10" t="s">
        <v>310</v>
      </c>
      <c r="H225" s="10" t="s">
        <v>139</v>
      </c>
      <c r="I225" s="10" t="s">
        <v>91</v>
      </c>
      <c r="J225" s="10" t="s">
        <v>55</v>
      </c>
      <c r="K225" s="10" t="s">
        <v>85</v>
      </c>
      <c r="M225" s="10" t="s">
        <v>310</v>
      </c>
      <c r="N225" s="10" t="s">
        <v>139</v>
      </c>
      <c r="O225" s="10" t="s">
        <v>91</v>
      </c>
      <c r="P225" s="10" t="s">
        <v>55</v>
      </c>
    </row>
    <row r="226" spans="1:16">
      <c r="A226" s="10">
        <v>0</v>
      </c>
      <c r="B226" s="10">
        <v>0</v>
      </c>
      <c r="C226" s="10">
        <v>0</v>
      </c>
      <c r="D226" s="10">
        <v>0</v>
      </c>
      <c r="E226" s="10">
        <v>0</v>
      </c>
      <c r="G226" s="10">
        <v>0</v>
      </c>
      <c r="H226" s="10">
        <v>0</v>
      </c>
      <c r="I226" s="10">
        <v>0</v>
      </c>
      <c r="J226" s="10">
        <v>0</v>
      </c>
      <c r="K226" s="10">
        <v>0</v>
      </c>
      <c r="M226" s="10">
        <v>0</v>
      </c>
      <c r="N226" s="10">
        <v>0</v>
      </c>
      <c r="O226" s="10">
        <v>0</v>
      </c>
      <c r="P226" s="10">
        <v>0</v>
      </c>
    </row>
    <row r="227" spans="1:16">
      <c r="A227" s="8">
        <v>12</v>
      </c>
      <c r="B227" s="8">
        <v>1</v>
      </c>
      <c r="C227" s="8">
        <v>50</v>
      </c>
      <c r="D227" s="8">
        <v>50</v>
      </c>
      <c r="E227" s="8">
        <v>10</v>
      </c>
      <c r="G227" s="8">
        <v>12</v>
      </c>
      <c r="H227" s="8">
        <v>1</v>
      </c>
      <c r="I227" s="8">
        <v>90</v>
      </c>
      <c r="J227" s="8">
        <v>80</v>
      </c>
      <c r="K227" s="8">
        <v>0.2</v>
      </c>
      <c r="M227" s="8">
        <v>14.5</v>
      </c>
      <c r="N227" s="8">
        <v>1</v>
      </c>
      <c r="O227" s="8">
        <v>10</v>
      </c>
      <c r="P227" s="8">
        <v>400</v>
      </c>
    </row>
    <row r="228" spans="1:16">
      <c r="A228" s="8">
        <v>12.5</v>
      </c>
      <c r="B228" s="8">
        <v>2</v>
      </c>
      <c r="C228" s="8">
        <v>15</v>
      </c>
      <c r="D228" s="8">
        <v>40</v>
      </c>
      <c r="E228" s="8">
        <v>20</v>
      </c>
      <c r="G228" s="8">
        <v>12.5</v>
      </c>
      <c r="H228" s="8">
        <v>2</v>
      </c>
      <c r="I228" s="8">
        <v>30</v>
      </c>
      <c r="J228" s="8">
        <v>50</v>
      </c>
      <c r="K228" s="8">
        <v>0.4</v>
      </c>
      <c r="M228" s="8">
        <v>14.5</v>
      </c>
      <c r="N228" s="8">
        <v>2</v>
      </c>
      <c r="O228" s="8">
        <v>15</v>
      </c>
      <c r="P228" s="8">
        <v>600</v>
      </c>
    </row>
    <row r="229" spans="1:16">
      <c r="A229" s="8">
        <v>13</v>
      </c>
      <c r="B229" s="8">
        <v>3</v>
      </c>
      <c r="C229" s="8">
        <v>20</v>
      </c>
      <c r="D229" s="8">
        <v>45</v>
      </c>
      <c r="E229" s="8">
        <v>30</v>
      </c>
      <c r="G229" s="8">
        <v>13</v>
      </c>
      <c r="H229" s="8">
        <v>3</v>
      </c>
      <c r="I229" s="8">
        <v>45</v>
      </c>
      <c r="J229" s="8">
        <v>55</v>
      </c>
      <c r="K229" s="8">
        <v>0.6</v>
      </c>
      <c r="M229" s="8">
        <v>14.5</v>
      </c>
      <c r="N229" s="8">
        <v>3</v>
      </c>
      <c r="O229" s="8">
        <v>20</v>
      </c>
      <c r="P229" s="8">
        <v>800</v>
      </c>
    </row>
    <row r="230" spans="1:16">
      <c r="A230" s="8">
        <v>13.5</v>
      </c>
      <c r="B230" s="8">
        <v>4</v>
      </c>
      <c r="C230" s="8">
        <v>8</v>
      </c>
      <c r="D230" s="8">
        <v>30</v>
      </c>
      <c r="E230" s="8">
        <v>40</v>
      </c>
      <c r="G230" s="8">
        <v>13.5</v>
      </c>
      <c r="H230" s="8">
        <v>4</v>
      </c>
      <c r="I230" s="8">
        <v>16</v>
      </c>
      <c r="J230" s="8">
        <v>40</v>
      </c>
      <c r="K230" s="8">
        <v>0.8</v>
      </c>
      <c r="M230" s="8">
        <v>15</v>
      </c>
      <c r="N230" s="8">
        <v>4</v>
      </c>
      <c r="O230" s="8">
        <v>25</v>
      </c>
      <c r="P230" s="8">
        <v>1000</v>
      </c>
    </row>
    <row r="231" spans="1:16">
      <c r="A231" s="8">
        <v>13.5</v>
      </c>
      <c r="B231" s="8">
        <v>5</v>
      </c>
      <c r="C231" s="8">
        <v>10</v>
      </c>
      <c r="D231" s="8">
        <v>35</v>
      </c>
      <c r="E231" s="8">
        <v>50</v>
      </c>
      <c r="G231" s="8">
        <v>13.5</v>
      </c>
      <c r="H231" s="8">
        <v>5</v>
      </c>
      <c r="I231" s="8">
        <v>20</v>
      </c>
      <c r="J231" s="8">
        <v>45</v>
      </c>
      <c r="K231" s="8">
        <v>1</v>
      </c>
      <c r="M231" s="8">
        <v>15.5</v>
      </c>
      <c r="N231" s="8">
        <v>5</v>
      </c>
      <c r="O231" s="8">
        <v>20</v>
      </c>
      <c r="P231" s="8">
        <v>400</v>
      </c>
    </row>
    <row r="232" spans="1:16">
      <c r="A232" s="8">
        <v>14</v>
      </c>
      <c r="B232" s="8">
        <v>6</v>
      </c>
      <c r="C232" s="8">
        <v>12</v>
      </c>
      <c r="D232" s="8">
        <v>38</v>
      </c>
      <c r="E232" s="8">
        <v>60</v>
      </c>
      <c r="G232" s="8">
        <v>14</v>
      </c>
      <c r="H232" s="8">
        <v>6</v>
      </c>
      <c r="I232" s="8">
        <v>24</v>
      </c>
      <c r="J232" s="8">
        <v>50</v>
      </c>
      <c r="K232" s="8">
        <v>1.2</v>
      </c>
      <c r="M232" s="8">
        <v>15.5</v>
      </c>
      <c r="N232" s="8">
        <v>6</v>
      </c>
      <c r="O232" s="8">
        <v>30</v>
      </c>
      <c r="P232" s="8">
        <v>600</v>
      </c>
    </row>
    <row r="233" spans="1:16">
      <c r="A233" s="8">
        <v>14.5</v>
      </c>
      <c r="B233" s="8">
        <v>7</v>
      </c>
      <c r="C233" s="8">
        <v>10</v>
      </c>
      <c r="D233" s="8">
        <v>30</v>
      </c>
      <c r="E233" s="8">
        <v>70</v>
      </c>
      <c r="G233" s="8">
        <v>14.5</v>
      </c>
      <c r="H233" s="8">
        <v>7</v>
      </c>
      <c r="I233" s="8">
        <v>20</v>
      </c>
      <c r="J233" s="8">
        <v>40</v>
      </c>
      <c r="K233" s="8">
        <v>1.4</v>
      </c>
      <c r="M233" s="8">
        <v>16</v>
      </c>
      <c r="N233" s="8">
        <v>7</v>
      </c>
      <c r="O233" s="8">
        <v>35</v>
      </c>
      <c r="P233" s="8">
        <v>800</v>
      </c>
    </row>
    <row r="234" spans="1:16">
      <c r="A234" s="8">
        <v>14.5</v>
      </c>
      <c r="B234" s="8">
        <v>8</v>
      </c>
      <c r="C234" s="8">
        <v>15</v>
      </c>
      <c r="D234" s="8">
        <v>40</v>
      </c>
      <c r="E234" s="8">
        <v>80</v>
      </c>
      <c r="G234" s="8">
        <v>14.5</v>
      </c>
      <c r="H234" s="8">
        <v>8</v>
      </c>
      <c r="I234" s="8">
        <v>30</v>
      </c>
      <c r="J234" s="8">
        <v>50</v>
      </c>
      <c r="K234" s="8">
        <v>1.6</v>
      </c>
      <c r="M234" s="8">
        <v>17</v>
      </c>
      <c r="N234" s="8">
        <v>8</v>
      </c>
      <c r="O234" s="8">
        <v>20</v>
      </c>
      <c r="P234" s="8">
        <v>400</v>
      </c>
    </row>
    <row r="235" spans="1:16">
      <c r="A235" s="8">
        <v>15</v>
      </c>
      <c r="B235" s="8">
        <v>9</v>
      </c>
      <c r="C235" s="8">
        <v>20</v>
      </c>
      <c r="D235" s="8">
        <v>50</v>
      </c>
      <c r="E235" s="8">
        <v>90</v>
      </c>
      <c r="G235" s="8">
        <v>15</v>
      </c>
      <c r="H235" s="8">
        <v>9</v>
      </c>
      <c r="I235" s="8">
        <v>40</v>
      </c>
      <c r="J235" s="8">
        <v>60</v>
      </c>
      <c r="K235" s="8">
        <v>1.8</v>
      </c>
      <c r="M235" s="8">
        <v>18</v>
      </c>
      <c r="N235" s="8">
        <v>9</v>
      </c>
      <c r="O235" s="8">
        <v>20</v>
      </c>
      <c r="P235" s="8">
        <v>400</v>
      </c>
    </row>
    <row r="238" spans="1:16">
      <c r="B238" s="8" t="s">
        <v>188</v>
      </c>
    </row>
    <row r="239" spans="1:16">
      <c r="A239" s="9" t="s">
        <v>203</v>
      </c>
      <c r="B239" s="9" t="s">
        <v>53</v>
      </c>
      <c r="C239" s="10" t="s">
        <v>139</v>
      </c>
      <c r="D239" s="10" t="s">
        <v>310</v>
      </c>
      <c r="E239" s="10" t="s">
        <v>91</v>
      </c>
      <c r="F239" s="10" t="s">
        <v>55</v>
      </c>
      <c r="G239" s="10" t="s">
        <v>85</v>
      </c>
    </row>
    <row r="240" spans="1:16">
      <c r="A240" s="8" t="str">
        <f>B240</f>
        <v>None</v>
      </c>
      <c r="B240" s="8" t="s">
        <v>54</v>
      </c>
      <c r="C240" s="8">
        <v>0</v>
      </c>
      <c r="D240" s="8">
        <v>0</v>
      </c>
      <c r="E240" s="8">
        <v>0</v>
      </c>
      <c r="F240" s="8">
        <v>0</v>
      </c>
      <c r="G240" s="8">
        <v>0</v>
      </c>
    </row>
    <row r="241" spans="1:7">
      <c r="A241" s="8" t="str">
        <f>CONCATENATE(  B241,  " ",  C241,  ", TL",  D241,  ", ",  E241,  " t"  )</f>
        <v>Meson A, TL11, 5000 t</v>
      </c>
      <c r="B241" s="8" t="s">
        <v>36</v>
      </c>
      <c r="C241" s="12" t="s">
        <v>266</v>
      </c>
      <c r="D241" s="8">
        <v>11</v>
      </c>
      <c r="E241" s="8">
        <v>5000</v>
      </c>
      <c r="F241" s="8">
        <v>10000</v>
      </c>
      <c r="G241" s="8">
        <v>500</v>
      </c>
    </row>
    <row r="242" spans="1:7">
      <c r="A242" s="8" t="str">
        <f t="shared" ref="A242:A276" si="14">CONCATENATE(  B242,  " ",  C242,  ", TL",  D242,  ", ",  E242,  " t"  )</f>
        <v>Meson B, TL11, 8000 t</v>
      </c>
      <c r="B242" s="8" t="s">
        <v>36</v>
      </c>
      <c r="C242" s="12" t="s">
        <v>125</v>
      </c>
      <c r="D242" s="8">
        <v>11</v>
      </c>
      <c r="E242" s="8">
        <v>8000</v>
      </c>
      <c r="F242" s="8">
        <v>12000</v>
      </c>
      <c r="G242" s="8">
        <v>600</v>
      </c>
    </row>
    <row r="243" spans="1:7">
      <c r="A243" s="8" t="str">
        <f t="shared" si="14"/>
        <v>Meson C, TL12, 2000 t</v>
      </c>
      <c r="B243" s="8" t="s">
        <v>36</v>
      </c>
      <c r="C243" s="12" t="s">
        <v>287</v>
      </c>
      <c r="D243" s="8">
        <v>12</v>
      </c>
      <c r="E243" s="8">
        <v>2000</v>
      </c>
      <c r="F243" s="8">
        <v>3000</v>
      </c>
      <c r="G243" s="8">
        <v>600</v>
      </c>
    </row>
    <row r="244" spans="1:7">
      <c r="A244" s="8" t="str">
        <f t="shared" si="14"/>
        <v>Meson D, TL12, 5000 t</v>
      </c>
      <c r="B244" s="8" t="s">
        <v>36</v>
      </c>
      <c r="C244" s="12" t="s">
        <v>43</v>
      </c>
      <c r="D244" s="8">
        <v>12</v>
      </c>
      <c r="E244" s="8">
        <v>5000</v>
      </c>
      <c r="F244" s="8">
        <v>5000</v>
      </c>
      <c r="G244" s="8">
        <v>700</v>
      </c>
    </row>
    <row r="245" spans="1:7">
      <c r="A245" s="8" t="str">
        <f t="shared" si="14"/>
        <v>Meson E, TL13, 1000 t</v>
      </c>
      <c r="B245" s="8" t="s">
        <v>36</v>
      </c>
      <c r="C245" s="12" t="s">
        <v>42</v>
      </c>
      <c r="D245" s="8">
        <v>13</v>
      </c>
      <c r="E245" s="8">
        <v>1000</v>
      </c>
      <c r="F245" s="8">
        <v>800</v>
      </c>
      <c r="G245" s="8">
        <v>700</v>
      </c>
    </row>
    <row r="246" spans="1:7">
      <c r="A246" s="8" t="str">
        <f t="shared" si="14"/>
        <v>Meson F, TL13, 2000 t</v>
      </c>
      <c r="B246" s="8" t="s">
        <v>36</v>
      </c>
      <c r="C246" s="12" t="s">
        <v>281</v>
      </c>
      <c r="D246" s="8">
        <v>13</v>
      </c>
      <c r="E246" s="8">
        <v>2000</v>
      </c>
      <c r="F246" s="8">
        <v>1000</v>
      </c>
      <c r="G246" s="8">
        <v>800</v>
      </c>
    </row>
    <row r="247" spans="1:7">
      <c r="A247" s="8" t="str">
        <f t="shared" si="14"/>
        <v>Meson G, TL14, 1000 t</v>
      </c>
      <c r="B247" s="8" t="s">
        <v>36</v>
      </c>
      <c r="C247" s="12" t="s">
        <v>378</v>
      </c>
      <c r="D247" s="8">
        <v>14</v>
      </c>
      <c r="E247" s="8">
        <v>1000</v>
      </c>
      <c r="F247" s="8">
        <v>400</v>
      </c>
      <c r="G247" s="8">
        <v>800</v>
      </c>
    </row>
    <row r="248" spans="1:7">
      <c r="A248" s="8" t="str">
        <f t="shared" si="14"/>
        <v>Meson H, TL14, 2000 t</v>
      </c>
      <c r="B248" s="8" t="s">
        <v>36</v>
      </c>
      <c r="C248" s="12" t="s">
        <v>387</v>
      </c>
      <c r="D248" s="8">
        <v>14</v>
      </c>
      <c r="E248" s="8">
        <v>2000</v>
      </c>
      <c r="F248" s="8">
        <v>600</v>
      </c>
      <c r="G248" s="8">
        <v>900</v>
      </c>
    </row>
    <row r="249" spans="1:7">
      <c r="A249" s="8" t="str">
        <f t="shared" si="14"/>
        <v>Meson J, TL15, 1000 t</v>
      </c>
      <c r="B249" s="8" t="s">
        <v>36</v>
      </c>
      <c r="C249" s="12" t="s">
        <v>265</v>
      </c>
      <c r="D249" s="8">
        <v>15</v>
      </c>
      <c r="E249" s="8">
        <v>1000</v>
      </c>
      <c r="F249" s="8">
        <v>400</v>
      </c>
      <c r="G249" s="8">
        <v>900</v>
      </c>
    </row>
    <row r="250" spans="1:7">
      <c r="A250" s="8" t="str">
        <f t="shared" si="14"/>
        <v>Meson K, TL12, 8000 t</v>
      </c>
      <c r="B250" s="8" t="s">
        <v>36</v>
      </c>
      <c r="C250" s="12" t="s">
        <v>390</v>
      </c>
      <c r="D250" s="8">
        <v>12</v>
      </c>
      <c r="E250" s="8">
        <v>8000</v>
      </c>
      <c r="F250" s="8">
        <v>10000</v>
      </c>
      <c r="G250" s="8">
        <v>1000</v>
      </c>
    </row>
    <row r="251" spans="1:7">
      <c r="A251" s="8" t="str">
        <f t="shared" si="14"/>
        <v>Meson L, TL13, 5000 t</v>
      </c>
      <c r="B251" s="8" t="s">
        <v>36</v>
      </c>
      <c r="C251" s="12" t="s">
        <v>391</v>
      </c>
      <c r="D251" s="8">
        <v>13</v>
      </c>
      <c r="E251" s="8">
        <v>5000</v>
      </c>
      <c r="F251" s="8">
        <v>3000</v>
      </c>
      <c r="G251" s="8">
        <v>1000</v>
      </c>
    </row>
    <row r="252" spans="1:7">
      <c r="A252" s="8" t="str">
        <f t="shared" si="14"/>
        <v>Meson M, TL14, 4000 t</v>
      </c>
      <c r="B252" s="8" t="s">
        <v>36</v>
      </c>
      <c r="C252" s="12" t="s">
        <v>112</v>
      </c>
      <c r="D252" s="8">
        <v>14</v>
      </c>
      <c r="E252" s="8">
        <v>4000</v>
      </c>
      <c r="F252" s="8">
        <v>800</v>
      </c>
      <c r="G252" s="8">
        <v>1000</v>
      </c>
    </row>
    <row r="253" spans="1:7">
      <c r="A253" s="8" t="str">
        <f t="shared" si="14"/>
        <v>Meson N, TL15, 2000 t</v>
      </c>
      <c r="B253" s="8" t="s">
        <v>36</v>
      </c>
      <c r="C253" s="12" t="s">
        <v>370</v>
      </c>
      <c r="D253" s="8">
        <v>15</v>
      </c>
      <c r="E253" s="8">
        <v>2000</v>
      </c>
      <c r="F253" s="8">
        <v>600</v>
      </c>
      <c r="G253" s="8">
        <v>1000</v>
      </c>
    </row>
    <row r="254" spans="1:7">
      <c r="A254" s="8" t="str">
        <f t="shared" si="14"/>
        <v>Meson P, TL13, 8000 t</v>
      </c>
      <c r="B254" s="8" t="s">
        <v>36</v>
      </c>
      <c r="C254" s="12" t="s">
        <v>371</v>
      </c>
      <c r="D254" s="8">
        <v>13</v>
      </c>
      <c r="E254" s="8">
        <v>8000</v>
      </c>
      <c r="F254" s="8">
        <v>5000</v>
      </c>
      <c r="G254" s="8">
        <v>1100</v>
      </c>
    </row>
    <row r="255" spans="1:7">
      <c r="A255" s="8" t="str">
        <f t="shared" si="14"/>
        <v>Meson Q, TL14, 7000 t</v>
      </c>
      <c r="B255" s="8" t="s">
        <v>36</v>
      </c>
      <c r="C255" s="12" t="s">
        <v>195</v>
      </c>
      <c r="D255" s="8">
        <v>14</v>
      </c>
      <c r="E255" s="8">
        <v>7000</v>
      </c>
      <c r="F255" s="8">
        <v>1000</v>
      </c>
      <c r="G255" s="8">
        <v>1100</v>
      </c>
    </row>
    <row r="256" spans="1:7">
      <c r="A256" s="8" t="str">
        <f t="shared" si="14"/>
        <v>Meson R, TL15, 5000 t</v>
      </c>
      <c r="B256" s="8" t="s">
        <v>36</v>
      </c>
      <c r="C256" s="12" t="s">
        <v>158</v>
      </c>
      <c r="D256" s="8">
        <v>15</v>
      </c>
      <c r="E256" s="8">
        <v>5000</v>
      </c>
      <c r="F256" s="8">
        <v>800</v>
      </c>
      <c r="G256" s="8">
        <v>1100</v>
      </c>
    </row>
    <row r="257" spans="1:7">
      <c r="A257" s="8" t="str">
        <f t="shared" si="14"/>
        <v>Meson S, TL14, 8000 t</v>
      </c>
      <c r="B257" s="8" t="s">
        <v>36</v>
      </c>
      <c r="C257" s="12" t="s">
        <v>385</v>
      </c>
      <c r="D257" s="8">
        <v>14</v>
      </c>
      <c r="E257" s="8">
        <v>8000</v>
      </c>
      <c r="F257" s="8">
        <v>2000</v>
      </c>
      <c r="G257" s="8">
        <v>1200</v>
      </c>
    </row>
    <row r="258" spans="1:7">
      <c r="A258" s="8" t="str">
        <f t="shared" si="14"/>
        <v>Meson T, TL15, 7000 t</v>
      </c>
      <c r="B258" s="8" t="s">
        <v>36</v>
      </c>
      <c r="C258" s="12" t="s">
        <v>118</v>
      </c>
      <c r="D258" s="8">
        <v>15</v>
      </c>
      <c r="E258" s="8">
        <v>7000</v>
      </c>
      <c r="F258" s="8">
        <v>1000</v>
      </c>
      <c r="G258" s="8">
        <v>1200</v>
      </c>
    </row>
    <row r="259" spans="1:7">
      <c r="A259" s="8" t="str">
        <f t="shared" si="14"/>
        <v>Particle A, TL8, 5500 t</v>
      </c>
      <c r="B259" s="8" t="s">
        <v>37</v>
      </c>
      <c r="C259" s="12" t="s">
        <v>266</v>
      </c>
      <c r="D259" s="8">
        <v>8</v>
      </c>
      <c r="E259" s="8">
        <v>5500</v>
      </c>
      <c r="F259" s="8">
        <v>3500</v>
      </c>
      <c r="G259" s="8">
        <v>500</v>
      </c>
    </row>
    <row r="260" spans="1:7">
      <c r="A260" s="8" t="str">
        <f t="shared" si="14"/>
        <v>Particle B, TL9, 5000 t</v>
      </c>
      <c r="B260" s="8" t="s">
        <v>37</v>
      </c>
      <c r="C260" s="12" t="s">
        <v>125</v>
      </c>
      <c r="D260" s="8">
        <v>9</v>
      </c>
      <c r="E260" s="8">
        <v>5000</v>
      </c>
      <c r="F260" s="8">
        <v>3000</v>
      </c>
      <c r="G260" s="8">
        <v>500</v>
      </c>
    </row>
    <row r="261" spans="1:7">
      <c r="A261" s="8" t="str">
        <f t="shared" si="14"/>
        <v>Particle C, TL10, 4500 t</v>
      </c>
      <c r="B261" s="8" t="s">
        <v>37</v>
      </c>
      <c r="C261" s="12" t="s">
        <v>287</v>
      </c>
      <c r="D261" s="8">
        <v>10</v>
      </c>
      <c r="E261" s="8">
        <v>4500</v>
      </c>
      <c r="F261" s="8">
        <v>2400</v>
      </c>
      <c r="G261" s="8">
        <v>500</v>
      </c>
    </row>
    <row r="262" spans="1:7">
      <c r="A262" s="8" t="str">
        <f t="shared" si="14"/>
        <v>Particle D, TL11, 4000 t</v>
      </c>
      <c r="B262" s="8" t="s">
        <v>37</v>
      </c>
      <c r="C262" s="12" t="s">
        <v>43</v>
      </c>
      <c r="D262" s="8">
        <v>11</v>
      </c>
      <c r="E262" s="8">
        <v>4000</v>
      </c>
      <c r="F262" s="8">
        <v>1500</v>
      </c>
      <c r="G262" s="8">
        <v>600</v>
      </c>
    </row>
    <row r="263" spans="1:7">
      <c r="A263" s="8" t="str">
        <f t="shared" si="14"/>
        <v>Particle E, TL12, 3500 t</v>
      </c>
      <c r="B263" s="8" t="s">
        <v>37</v>
      </c>
      <c r="C263" s="12" t="s">
        <v>42</v>
      </c>
      <c r="D263" s="8">
        <v>12</v>
      </c>
      <c r="E263" s="8">
        <v>3500</v>
      </c>
      <c r="F263" s="8">
        <v>1200</v>
      </c>
      <c r="G263" s="8">
        <v>600</v>
      </c>
    </row>
    <row r="264" spans="1:7">
      <c r="A264" s="8" t="str">
        <f t="shared" si="14"/>
        <v>Particle F, TL13, 3000 t</v>
      </c>
      <c r="B264" s="8" t="s">
        <v>37</v>
      </c>
      <c r="C264" s="12" t="s">
        <v>281</v>
      </c>
      <c r="D264" s="8">
        <v>13</v>
      </c>
      <c r="E264" s="8">
        <v>3000</v>
      </c>
      <c r="F264" s="8">
        <v>1200</v>
      </c>
      <c r="G264" s="8">
        <v>600</v>
      </c>
    </row>
    <row r="265" spans="1:7">
      <c r="A265" s="8" t="str">
        <f t="shared" si="14"/>
        <v>Particle G, TL14, 2500 t</v>
      </c>
      <c r="B265" s="8" t="s">
        <v>37</v>
      </c>
      <c r="C265" s="12" t="s">
        <v>378</v>
      </c>
      <c r="D265" s="8">
        <v>14</v>
      </c>
      <c r="E265" s="8">
        <v>2500</v>
      </c>
      <c r="F265" s="8">
        <v>800</v>
      </c>
      <c r="G265" s="8">
        <v>700</v>
      </c>
    </row>
    <row r="266" spans="1:7">
      <c r="A266" s="8" t="str">
        <f t="shared" si="14"/>
        <v>Particle H, TL15, 2500 t</v>
      </c>
      <c r="B266" s="8" t="s">
        <v>37</v>
      </c>
      <c r="C266" s="12" t="s">
        <v>387</v>
      </c>
      <c r="D266" s="8">
        <v>15</v>
      </c>
      <c r="E266" s="8">
        <v>2500</v>
      </c>
      <c r="F266" s="8">
        <v>500</v>
      </c>
      <c r="G266" s="8">
        <v>700</v>
      </c>
    </row>
    <row r="267" spans="1:7">
      <c r="A267" s="8" t="str">
        <f t="shared" si="14"/>
        <v>Particle J, TL10, 5000 t</v>
      </c>
      <c r="B267" s="8" t="s">
        <v>37</v>
      </c>
      <c r="C267" s="12" t="s">
        <v>265</v>
      </c>
      <c r="D267" s="8">
        <v>10</v>
      </c>
      <c r="E267" s="8">
        <v>5000</v>
      </c>
      <c r="F267" s="8">
        <v>3000</v>
      </c>
      <c r="G267" s="8">
        <v>800</v>
      </c>
    </row>
    <row r="268" spans="1:7">
      <c r="A268" s="8" t="str">
        <f t="shared" si="14"/>
        <v>Particle K, TL11, 4500 t</v>
      </c>
      <c r="B268" s="8" t="s">
        <v>37</v>
      </c>
      <c r="C268" s="12" t="s">
        <v>390</v>
      </c>
      <c r="D268" s="8">
        <v>11</v>
      </c>
      <c r="E268" s="8">
        <v>4500</v>
      </c>
      <c r="F268" s="8">
        <v>2000</v>
      </c>
      <c r="G268" s="8">
        <v>800</v>
      </c>
    </row>
    <row r="269" spans="1:7">
      <c r="A269" s="8" t="str">
        <f t="shared" si="14"/>
        <v>Particle L, TL12, 4000 t</v>
      </c>
      <c r="B269" s="8" t="s">
        <v>37</v>
      </c>
      <c r="C269" s="12" t="s">
        <v>391</v>
      </c>
      <c r="D269" s="8">
        <v>12</v>
      </c>
      <c r="E269" s="8">
        <v>4000</v>
      </c>
      <c r="F269" s="8">
        <v>1600</v>
      </c>
      <c r="G269" s="8">
        <v>800</v>
      </c>
    </row>
    <row r="270" spans="1:7">
      <c r="A270" s="8" t="str">
        <f t="shared" si="14"/>
        <v>Particle M, TL13, 3500 t</v>
      </c>
      <c r="B270" s="8" t="s">
        <v>37</v>
      </c>
      <c r="C270" s="12" t="s">
        <v>112</v>
      </c>
      <c r="D270" s="8">
        <v>13</v>
      </c>
      <c r="E270" s="8">
        <v>3500</v>
      </c>
      <c r="F270" s="8">
        <v>1200</v>
      </c>
      <c r="G270" s="8">
        <v>900</v>
      </c>
    </row>
    <row r="271" spans="1:7">
      <c r="A271" s="8" t="str">
        <f t="shared" si="14"/>
        <v>Particle N, TL14, 3000 t</v>
      </c>
      <c r="B271" s="8" t="s">
        <v>37</v>
      </c>
      <c r="C271" s="12" t="s">
        <v>370</v>
      </c>
      <c r="D271" s="8">
        <v>14</v>
      </c>
      <c r="E271" s="8">
        <v>3000</v>
      </c>
      <c r="F271" s="8">
        <v>1000</v>
      </c>
      <c r="G271" s="8">
        <v>900</v>
      </c>
    </row>
    <row r="272" spans="1:7">
      <c r="A272" s="8" t="str">
        <f t="shared" si="14"/>
        <v>Particle P, TL15, 2500 t</v>
      </c>
      <c r="B272" s="8" t="s">
        <v>37</v>
      </c>
      <c r="C272" s="12" t="s">
        <v>371</v>
      </c>
      <c r="D272" s="8">
        <v>15</v>
      </c>
      <c r="E272" s="8">
        <v>2500</v>
      </c>
      <c r="F272" s="8">
        <v>800</v>
      </c>
      <c r="G272" s="8">
        <v>900</v>
      </c>
    </row>
    <row r="273" spans="1:15">
      <c r="A273" s="8" t="str">
        <f t="shared" si="14"/>
        <v>Particle Q, TL12, 4500 t</v>
      </c>
      <c r="B273" s="8" t="s">
        <v>37</v>
      </c>
      <c r="C273" s="12" t="s">
        <v>195</v>
      </c>
      <c r="D273" s="8">
        <v>12</v>
      </c>
      <c r="E273" s="8">
        <v>4500</v>
      </c>
      <c r="F273" s="8">
        <v>2000</v>
      </c>
      <c r="G273" s="8">
        <v>1000</v>
      </c>
    </row>
    <row r="274" spans="1:15">
      <c r="A274" s="8" t="str">
        <f t="shared" si="14"/>
        <v>Particle R, TL13, 4000 t</v>
      </c>
      <c r="B274" s="8" t="s">
        <v>37</v>
      </c>
      <c r="C274" s="12" t="s">
        <v>158</v>
      </c>
      <c r="D274" s="8">
        <v>13</v>
      </c>
      <c r="E274" s="8">
        <v>4000</v>
      </c>
      <c r="F274" s="8">
        <v>1500</v>
      </c>
      <c r="G274" s="8">
        <v>1000</v>
      </c>
    </row>
    <row r="275" spans="1:15">
      <c r="A275" s="8" t="str">
        <f t="shared" si="14"/>
        <v>Particle S, TL14, 3500 t</v>
      </c>
      <c r="B275" s="8" t="s">
        <v>37</v>
      </c>
      <c r="C275" s="12" t="s">
        <v>385</v>
      </c>
      <c r="D275" s="8">
        <v>14</v>
      </c>
      <c r="E275" s="8">
        <v>3500</v>
      </c>
      <c r="F275" s="8">
        <v>1200</v>
      </c>
      <c r="G275" s="8">
        <v>1000</v>
      </c>
    </row>
    <row r="276" spans="1:15">
      <c r="A276" s="8" t="str">
        <f t="shared" si="14"/>
        <v>Particle T, TL15, 3000 t</v>
      </c>
      <c r="B276" s="8" t="s">
        <v>37</v>
      </c>
      <c r="C276" s="12" t="s">
        <v>118</v>
      </c>
      <c r="D276" s="8">
        <v>15</v>
      </c>
      <c r="E276" s="8">
        <v>3000</v>
      </c>
      <c r="F276" s="8">
        <v>1000</v>
      </c>
      <c r="G276" s="8">
        <v>1000</v>
      </c>
    </row>
    <row r="279" spans="1:15">
      <c r="A279" s="9" t="s">
        <v>203</v>
      </c>
      <c r="B279" s="9" t="s">
        <v>38</v>
      </c>
      <c r="C279" s="10" t="s">
        <v>91</v>
      </c>
      <c r="D279" s="10" t="s">
        <v>55</v>
      </c>
      <c r="E279" s="10" t="s">
        <v>85</v>
      </c>
      <c r="F279" s="9">
        <v>0</v>
      </c>
      <c r="G279" s="9">
        <v>7</v>
      </c>
      <c r="H279" s="9">
        <v>8</v>
      </c>
      <c r="I279" s="9">
        <v>9</v>
      </c>
      <c r="J279" s="9">
        <v>10</v>
      </c>
      <c r="K279" s="9">
        <v>11</v>
      </c>
      <c r="L279" s="9">
        <v>12</v>
      </c>
      <c r="M279" s="9">
        <v>13</v>
      </c>
      <c r="N279" s="9">
        <v>14</v>
      </c>
      <c r="O279" s="9">
        <v>15</v>
      </c>
    </row>
    <row r="280" spans="1:15">
      <c r="A280" s="8" t="str">
        <f>B280</f>
        <v>None</v>
      </c>
      <c r="B280" s="8" t="s">
        <v>54</v>
      </c>
      <c r="C280" s="8">
        <v>0</v>
      </c>
      <c r="D280" s="8">
        <v>0</v>
      </c>
      <c r="E280" s="8">
        <v>0</v>
      </c>
      <c r="F280" s="8">
        <v>0</v>
      </c>
      <c r="G280" s="8">
        <v>0</v>
      </c>
      <c r="H280" s="8">
        <v>0</v>
      </c>
      <c r="I280" s="8">
        <v>0</v>
      </c>
      <c r="J280" s="8">
        <v>0</v>
      </c>
      <c r="K280" s="8">
        <v>0</v>
      </c>
      <c r="L280" s="8">
        <v>0</v>
      </c>
      <c r="M280" s="8">
        <v>0</v>
      </c>
      <c r="N280" s="8">
        <v>0</v>
      </c>
      <c r="O280" s="8">
        <v>0</v>
      </c>
    </row>
    <row r="281" spans="1:15">
      <c r="A281" s="8" t="str">
        <f>CONCATENATE(  B281,  ", ",  C281,  " t")</f>
        <v>Missile, 100 t</v>
      </c>
      <c r="B281" s="8" t="s">
        <v>172</v>
      </c>
      <c r="C281" s="8">
        <v>100</v>
      </c>
      <c r="D281" s="8">
        <v>20</v>
      </c>
      <c r="E281" s="8">
        <v>0</v>
      </c>
      <c r="F281" s="8">
        <v>0</v>
      </c>
      <c r="G281" s="12">
        <v>7</v>
      </c>
      <c r="H281" s="12">
        <v>7</v>
      </c>
      <c r="I281" s="12">
        <v>7</v>
      </c>
      <c r="J281" s="12">
        <v>8</v>
      </c>
      <c r="K281" s="12">
        <v>8</v>
      </c>
      <c r="L281" s="12">
        <v>9</v>
      </c>
      <c r="M281" s="12">
        <v>9</v>
      </c>
      <c r="N281" s="12">
        <v>9</v>
      </c>
      <c r="O281" s="12">
        <v>9</v>
      </c>
    </row>
    <row r="282" spans="1:15">
      <c r="A282" s="8" t="str">
        <f t="shared" ref="A282:A292" si="15">CONCATENATE(  B282,  ", ",  C282,  " t")</f>
        <v>Missile, 50 t</v>
      </c>
      <c r="B282" s="8" t="s">
        <v>172</v>
      </c>
      <c r="C282" s="8">
        <v>50</v>
      </c>
      <c r="D282" s="8">
        <v>12</v>
      </c>
      <c r="E282" s="8">
        <v>0</v>
      </c>
      <c r="F282" s="8">
        <v>0</v>
      </c>
      <c r="G282" s="8">
        <v>0</v>
      </c>
      <c r="H282" s="8">
        <v>0</v>
      </c>
      <c r="I282" s="8">
        <v>0</v>
      </c>
      <c r="J282" s="12">
        <v>7</v>
      </c>
      <c r="K282" s="12">
        <v>7</v>
      </c>
      <c r="L282" s="12">
        <v>8</v>
      </c>
      <c r="M282" s="12">
        <v>8</v>
      </c>
      <c r="N282" s="12">
        <v>9</v>
      </c>
      <c r="O282" s="12">
        <v>9</v>
      </c>
    </row>
    <row r="283" spans="1:15">
      <c r="A283" s="8" t="str">
        <f t="shared" si="15"/>
        <v>Meson, 100 t</v>
      </c>
      <c r="B283" s="8" t="s">
        <v>36</v>
      </c>
      <c r="C283" s="8">
        <v>100</v>
      </c>
      <c r="D283" s="8">
        <v>70</v>
      </c>
      <c r="E283" s="8">
        <v>200</v>
      </c>
      <c r="F283" s="8">
        <v>0</v>
      </c>
      <c r="G283" s="8">
        <v>0</v>
      </c>
      <c r="H283" s="8">
        <v>0</v>
      </c>
      <c r="I283" s="8">
        <v>0</v>
      </c>
      <c r="J283" s="8">
        <v>0</v>
      </c>
      <c r="K283" s="8">
        <v>0</v>
      </c>
      <c r="L283" s="8">
        <v>0</v>
      </c>
      <c r="M283" s="12">
        <v>3</v>
      </c>
      <c r="N283" s="12">
        <v>5</v>
      </c>
      <c r="O283" s="12">
        <v>9</v>
      </c>
    </row>
    <row r="284" spans="1:15">
      <c r="A284" s="8" t="str">
        <f t="shared" si="15"/>
        <v>Meson, 50 t</v>
      </c>
      <c r="B284" s="8" t="s">
        <v>36</v>
      </c>
      <c r="C284" s="8">
        <v>50</v>
      </c>
      <c r="D284" s="8">
        <v>50</v>
      </c>
      <c r="E284" s="8">
        <v>100</v>
      </c>
      <c r="F284" s="8">
        <v>0</v>
      </c>
      <c r="G284" s="8">
        <v>0</v>
      </c>
      <c r="H284" s="8">
        <v>0</v>
      </c>
      <c r="I284" s="8">
        <v>0</v>
      </c>
      <c r="J284" s="8">
        <v>0</v>
      </c>
      <c r="K284" s="8">
        <v>0</v>
      </c>
      <c r="L284" s="8">
        <v>0</v>
      </c>
      <c r="M284" s="8">
        <v>0</v>
      </c>
      <c r="N284" s="8">
        <v>0</v>
      </c>
      <c r="O284" s="12">
        <v>4</v>
      </c>
    </row>
    <row r="285" spans="1:15">
      <c r="A285" s="8" t="str">
        <f t="shared" si="15"/>
        <v>Particle, 100 t</v>
      </c>
      <c r="B285" s="8" t="s">
        <v>37</v>
      </c>
      <c r="C285" s="8">
        <v>100</v>
      </c>
      <c r="D285" s="8">
        <v>35</v>
      </c>
      <c r="E285" s="8">
        <v>60</v>
      </c>
      <c r="F285" s="8">
        <v>0</v>
      </c>
      <c r="G285" s="8">
        <v>0</v>
      </c>
      <c r="H285" s="12">
        <v>6</v>
      </c>
      <c r="I285" s="12">
        <v>6</v>
      </c>
      <c r="J285" s="12">
        <v>7</v>
      </c>
      <c r="K285" s="12">
        <v>7</v>
      </c>
      <c r="L285" s="12">
        <v>8</v>
      </c>
      <c r="M285" s="12">
        <v>8</v>
      </c>
      <c r="N285" s="12">
        <v>9</v>
      </c>
      <c r="O285" s="12">
        <v>9</v>
      </c>
    </row>
    <row r="286" spans="1:15">
      <c r="A286" s="8" t="str">
        <f t="shared" si="15"/>
        <v>Particle, 50 t</v>
      </c>
      <c r="B286" s="8" t="s">
        <v>37</v>
      </c>
      <c r="C286" s="8">
        <v>50</v>
      </c>
      <c r="D286" s="8">
        <v>20</v>
      </c>
      <c r="E286" s="8">
        <v>30</v>
      </c>
      <c r="F286" s="8">
        <v>0</v>
      </c>
      <c r="G286" s="8">
        <v>0</v>
      </c>
      <c r="H286" s="8">
        <v>0</v>
      </c>
      <c r="I286" s="8">
        <v>0</v>
      </c>
      <c r="J286" s="12">
        <v>3</v>
      </c>
      <c r="K286" s="12">
        <v>3</v>
      </c>
      <c r="L286" s="12">
        <v>4</v>
      </c>
      <c r="M286" s="12">
        <v>4</v>
      </c>
      <c r="N286" s="12">
        <v>5</v>
      </c>
      <c r="O286" s="12">
        <v>5</v>
      </c>
    </row>
    <row r="287" spans="1:15">
      <c r="A287" s="8" t="str">
        <f t="shared" si="15"/>
        <v>Repulsor, 100 t</v>
      </c>
      <c r="B287" s="8" t="s">
        <v>173</v>
      </c>
      <c r="C287" s="8">
        <v>100</v>
      </c>
      <c r="D287" s="8">
        <v>10</v>
      </c>
      <c r="E287" s="8">
        <v>10</v>
      </c>
      <c r="F287" s="8">
        <v>0</v>
      </c>
      <c r="G287" s="8">
        <v>0</v>
      </c>
      <c r="H287" s="8">
        <v>0</v>
      </c>
      <c r="I287" s="8">
        <v>0</v>
      </c>
      <c r="J287" s="12">
        <v>2</v>
      </c>
      <c r="K287" s="12">
        <v>4</v>
      </c>
      <c r="L287" s="12">
        <v>6</v>
      </c>
      <c r="M287" s="12">
        <v>7</v>
      </c>
      <c r="N287" s="12">
        <v>8</v>
      </c>
      <c r="O287" s="12">
        <v>9</v>
      </c>
    </row>
    <row r="288" spans="1:15">
      <c r="A288" s="8" t="str">
        <f t="shared" si="15"/>
        <v>Repulsor, 50 t</v>
      </c>
      <c r="B288" s="8" t="s">
        <v>173</v>
      </c>
      <c r="C288" s="8">
        <v>50</v>
      </c>
      <c r="D288" s="8">
        <v>6</v>
      </c>
      <c r="E288" s="8">
        <v>5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  <c r="N288" s="12">
        <v>3</v>
      </c>
      <c r="O288" s="12">
        <v>5</v>
      </c>
    </row>
    <row r="289" spans="1:19">
      <c r="A289" s="8" t="str">
        <f t="shared" si="15"/>
        <v>Plasma, 50 t</v>
      </c>
      <c r="B289" s="8" t="s">
        <v>33</v>
      </c>
      <c r="C289" s="8">
        <v>50</v>
      </c>
      <c r="D289" s="8">
        <v>5</v>
      </c>
      <c r="E289" s="8">
        <v>10</v>
      </c>
      <c r="F289" s="8">
        <v>0</v>
      </c>
      <c r="G289" s="8">
        <v>0</v>
      </c>
      <c r="H289" s="8">
        <v>0</v>
      </c>
      <c r="I289" s="8">
        <v>0</v>
      </c>
      <c r="J289" s="12">
        <v>4</v>
      </c>
      <c r="K289" s="12">
        <v>5</v>
      </c>
      <c r="L289" s="12">
        <v>6</v>
      </c>
      <c r="M289" s="12">
        <v>6</v>
      </c>
      <c r="N289" s="12">
        <v>6</v>
      </c>
      <c r="O289" s="12">
        <v>6</v>
      </c>
    </row>
    <row r="290" spans="1:19">
      <c r="A290" s="8" t="str">
        <f t="shared" ref="A290:A291" si="16">CONCATENATE(  B290,  ", ",  C290,  " t")</f>
        <v>Fusion, 50 t</v>
      </c>
      <c r="B290" s="8" t="s">
        <v>238</v>
      </c>
      <c r="C290" s="8">
        <v>50</v>
      </c>
      <c r="D290" s="8">
        <v>8</v>
      </c>
      <c r="E290" s="8">
        <v>20</v>
      </c>
      <c r="F290" s="8">
        <v>0</v>
      </c>
      <c r="G290" s="8">
        <v>0</v>
      </c>
      <c r="H290" s="8">
        <v>0</v>
      </c>
      <c r="I290" s="8">
        <v>0</v>
      </c>
      <c r="J290" s="8">
        <v>0</v>
      </c>
      <c r="K290" s="8">
        <v>0</v>
      </c>
      <c r="L290" s="12">
        <v>7</v>
      </c>
      <c r="M290" s="12">
        <v>8</v>
      </c>
      <c r="N290" s="12">
        <v>9</v>
      </c>
      <c r="O290" s="12">
        <v>9</v>
      </c>
    </row>
    <row r="291" spans="1:19">
      <c r="A291" s="8" t="str">
        <f t="shared" si="16"/>
        <v>Empty, 50 t</v>
      </c>
      <c r="B291" s="8" t="s">
        <v>271</v>
      </c>
      <c r="C291" s="8">
        <v>50</v>
      </c>
      <c r="D291" s="8">
        <v>0</v>
      </c>
      <c r="E291" s="8">
        <v>0</v>
      </c>
      <c r="F291" s="8">
        <v>0</v>
      </c>
      <c r="G291" s="8" t="str">
        <f>""</f>
        <v/>
      </c>
      <c r="H291" s="8" t="str">
        <f>""</f>
        <v/>
      </c>
      <c r="I291" s="8" t="str">
        <f>""</f>
        <v/>
      </c>
      <c r="J291" s="8" t="str">
        <f>""</f>
        <v/>
      </c>
      <c r="K291" s="8" t="str">
        <f>""</f>
        <v/>
      </c>
      <c r="L291" s="8" t="str">
        <f>""</f>
        <v/>
      </c>
      <c r="M291" s="8" t="str">
        <f>""</f>
        <v/>
      </c>
      <c r="N291" s="8" t="str">
        <f>""</f>
        <v/>
      </c>
      <c r="O291" s="8" t="str">
        <f>""</f>
        <v/>
      </c>
    </row>
    <row r="292" spans="1:19">
      <c r="A292" s="8" t="str">
        <f t="shared" si="15"/>
        <v>Empty, 100 t</v>
      </c>
      <c r="B292" s="8" t="s">
        <v>271</v>
      </c>
      <c r="C292" s="8">
        <v>100</v>
      </c>
      <c r="D292" s="8">
        <v>0</v>
      </c>
      <c r="E292" s="8">
        <v>0</v>
      </c>
      <c r="F292" s="8">
        <v>0</v>
      </c>
      <c r="G292" s="8" t="str">
        <f>""</f>
        <v/>
      </c>
      <c r="H292" s="8" t="str">
        <f>""</f>
        <v/>
      </c>
      <c r="I292" s="8" t="str">
        <f>""</f>
        <v/>
      </c>
      <c r="J292" s="8" t="str">
        <f>""</f>
        <v/>
      </c>
      <c r="K292" s="8" t="str">
        <f>""</f>
        <v/>
      </c>
      <c r="L292" s="8" t="str">
        <f>""</f>
        <v/>
      </c>
      <c r="M292" s="8" t="str">
        <f>""</f>
        <v/>
      </c>
      <c r="N292" s="8" t="str">
        <f>""</f>
        <v/>
      </c>
      <c r="O292" s="8" t="str">
        <f>""</f>
        <v/>
      </c>
    </row>
    <row r="295" spans="1:19">
      <c r="B295" s="9" t="s">
        <v>219</v>
      </c>
      <c r="C295" s="10" t="s">
        <v>341</v>
      </c>
      <c r="D295" s="10" t="s">
        <v>338</v>
      </c>
      <c r="E295" s="10" t="s">
        <v>348</v>
      </c>
      <c r="F295" s="10" t="s">
        <v>394</v>
      </c>
      <c r="G295" s="10" t="s">
        <v>50</v>
      </c>
      <c r="H295" s="10" t="s">
        <v>50</v>
      </c>
      <c r="I295" s="10" t="s">
        <v>50</v>
      </c>
      <c r="J295" s="9">
        <v>0</v>
      </c>
      <c r="K295" s="9">
        <v>1</v>
      </c>
      <c r="L295" s="9">
        <v>2</v>
      </c>
      <c r="M295" s="9">
        <v>3</v>
      </c>
      <c r="N295" s="9">
        <v>4</v>
      </c>
      <c r="O295" s="9">
        <v>5</v>
      </c>
      <c r="P295" s="9">
        <v>6</v>
      </c>
      <c r="Q295" s="9">
        <v>7</v>
      </c>
      <c r="R295" s="9">
        <v>8</v>
      </c>
      <c r="S295" s="9">
        <v>9</v>
      </c>
    </row>
    <row r="296" spans="1:19">
      <c r="B296" s="8" t="s">
        <v>51</v>
      </c>
      <c r="C296" s="8">
        <v>0</v>
      </c>
      <c r="D296" s="8">
        <v>0</v>
      </c>
      <c r="E296" s="8">
        <v>0</v>
      </c>
      <c r="F296" s="8">
        <v>3</v>
      </c>
      <c r="G296" s="8">
        <v>0</v>
      </c>
      <c r="H296" s="8">
        <v>20</v>
      </c>
      <c r="I296" s="8">
        <v>20</v>
      </c>
      <c r="J296" s="8">
        <v>0</v>
      </c>
      <c r="K296" s="8">
        <v>99</v>
      </c>
      <c r="L296" s="8">
        <v>99</v>
      </c>
      <c r="M296" s="8">
        <v>99</v>
      </c>
      <c r="N296" s="8">
        <v>99</v>
      </c>
      <c r="O296" s="8">
        <v>99</v>
      </c>
      <c r="P296" s="8">
        <v>99</v>
      </c>
      <c r="Q296" s="8">
        <v>99</v>
      </c>
      <c r="R296" s="8">
        <v>99</v>
      </c>
      <c r="S296" s="8">
        <v>99</v>
      </c>
    </row>
    <row r="297" spans="1:19">
      <c r="B297" s="8" t="s">
        <v>52</v>
      </c>
      <c r="C297" s="8">
        <v>1</v>
      </c>
      <c r="D297" s="8">
        <v>0.75</v>
      </c>
      <c r="E297" s="8">
        <v>0</v>
      </c>
      <c r="F297" s="8">
        <v>3</v>
      </c>
      <c r="G297" s="8">
        <v>7</v>
      </c>
      <c r="H297" s="8">
        <v>13</v>
      </c>
      <c r="I297" s="8">
        <v>20</v>
      </c>
      <c r="J297" s="8">
        <v>0</v>
      </c>
      <c r="K297" s="8">
        <v>1</v>
      </c>
      <c r="L297" s="8">
        <v>3</v>
      </c>
      <c r="M297" s="8">
        <v>6</v>
      </c>
      <c r="N297" s="8">
        <v>12</v>
      </c>
      <c r="O297" s="8">
        <v>18</v>
      </c>
      <c r="P297" s="8">
        <v>30</v>
      </c>
      <c r="Q297" s="8">
        <v>99</v>
      </c>
      <c r="R297" s="8">
        <v>99</v>
      </c>
      <c r="S297" s="8">
        <v>99</v>
      </c>
    </row>
    <row r="298" spans="1:19">
      <c r="B298" s="8" t="s">
        <v>57</v>
      </c>
      <c r="C298" s="8">
        <v>1</v>
      </c>
      <c r="D298" s="8">
        <v>1</v>
      </c>
      <c r="E298" s="8">
        <v>1</v>
      </c>
      <c r="F298" s="8">
        <v>3</v>
      </c>
      <c r="G298" s="8">
        <v>7</v>
      </c>
      <c r="H298" s="8">
        <v>13</v>
      </c>
      <c r="I298" s="8">
        <v>20</v>
      </c>
      <c r="J298" s="8">
        <v>0</v>
      </c>
      <c r="K298" s="8">
        <v>1</v>
      </c>
      <c r="L298" s="8">
        <v>2</v>
      </c>
      <c r="M298" s="8">
        <v>3</v>
      </c>
      <c r="N298" s="8">
        <v>6</v>
      </c>
      <c r="O298" s="8">
        <v>10</v>
      </c>
      <c r="P298" s="8">
        <v>15</v>
      </c>
      <c r="Q298" s="8">
        <v>21</v>
      </c>
      <c r="R298" s="8">
        <v>30</v>
      </c>
      <c r="S298" s="8">
        <v>99</v>
      </c>
    </row>
    <row r="299" spans="1:19">
      <c r="B299" s="8" t="s">
        <v>228</v>
      </c>
      <c r="C299" s="8">
        <v>1</v>
      </c>
      <c r="D299" s="8">
        <v>0.5</v>
      </c>
      <c r="E299" s="8">
        <v>1</v>
      </c>
      <c r="F299" s="8">
        <v>3</v>
      </c>
      <c r="G299" s="8">
        <v>7</v>
      </c>
      <c r="H299" s="8">
        <v>13</v>
      </c>
      <c r="I299" s="8">
        <v>20</v>
      </c>
      <c r="J299" s="8">
        <v>0</v>
      </c>
      <c r="K299" s="8">
        <v>1</v>
      </c>
      <c r="L299" s="8">
        <v>3</v>
      </c>
      <c r="M299" s="8">
        <v>6</v>
      </c>
      <c r="N299" s="8">
        <v>10</v>
      </c>
      <c r="O299" s="8">
        <v>21</v>
      </c>
      <c r="P299" s="8">
        <v>30</v>
      </c>
      <c r="Q299" s="8">
        <v>99</v>
      </c>
      <c r="R299" s="8">
        <v>99</v>
      </c>
      <c r="S299" s="8">
        <v>99</v>
      </c>
    </row>
    <row r="300" spans="1:19">
      <c r="B300" s="8" t="s">
        <v>224</v>
      </c>
      <c r="C300" s="8">
        <v>2</v>
      </c>
      <c r="D300" s="8">
        <v>1.5</v>
      </c>
      <c r="E300" s="8">
        <v>1</v>
      </c>
      <c r="F300" s="8">
        <v>2</v>
      </c>
      <c r="G300" s="8">
        <v>10</v>
      </c>
      <c r="H300" s="8">
        <v>11</v>
      </c>
      <c r="I300" s="8">
        <v>12</v>
      </c>
      <c r="J300" s="8">
        <v>0</v>
      </c>
      <c r="K300" s="8">
        <v>1</v>
      </c>
      <c r="L300" s="8">
        <v>4</v>
      </c>
      <c r="M300" s="8">
        <v>10</v>
      </c>
      <c r="N300" s="8">
        <v>16</v>
      </c>
      <c r="O300" s="8">
        <v>20</v>
      </c>
      <c r="P300" s="8">
        <v>99</v>
      </c>
      <c r="Q300" s="8">
        <v>99</v>
      </c>
      <c r="R300" s="8">
        <v>99</v>
      </c>
      <c r="S300" s="8">
        <v>99</v>
      </c>
    </row>
    <row r="301" spans="1:19">
      <c r="B301" s="8" t="s">
        <v>71</v>
      </c>
      <c r="C301" s="8">
        <v>2</v>
      </c>
      <c r="D301" s="8">
        <v>2</v>
      </c>
      <c r="E301" s="8">
        <v>2</v>
      </c>
      <c r="F301" s="8">
        <v>2</v>
      </c>
      <c r="G301" s="8">
        <v>12</v>
      </c>
      <c r="H301" s="8">
        <v>14</v>
      </c>
      <c r="I301" s="8">
        <v>20</v>
      </c>
      <c r="J301" s="8">
        <v>0</v>
      </c>
      <c r="K301" s="8">
        <v>0</v>
      </c>
      <c r="L301" s="8">
        <v>0</v>
      </c>
      <c r="M301" s="8">
        <v>0</v>
      </c>
      <c r="N301" s="8">
        <v>1</v>
      </c>
      <c r="O301" s="8">
        <v>4</v>
      </c>
      <c r="P301" s="8">
        <v>10</v>
      </c>
      <c r="Q301" s="8">
        <v>16</v>
      </c>
      <c r="R301" s="8">
        <v>20</v>
      </c>
      <c r="S301" s="8">
        <v>99</v>
      </c>
    </row>
    <row r="302" spans="1:19">
      <c r="B302" s="8" t="s">
        <v>239</v>
      </c>
      <c r="C302" s="8">
        <v>1</v>
      </c>
      <c r="D302" s="8">
        <v>0.25</v>
      </c>
      <c r="E302" s="8">
        <v>0</v>
      </c>
      <c r="F302" s="8">
        <v>3</v>
      </c>
      <c r="G302" s="8">
        <v>7</v>
      </c>
      <c r="H302" s="8">
        <v>8</v>
      </c>
      <c r="I302" s="8">
        <v>10</v>
      </c>
      <c r="J302" s="8">
        <v>0</v>
      </c>
      <c r="K302" s="8">
        <v>1</v>
      </c>
      <c r="L302" s="8">
        <v>3</v>
      </c>
      <c r="M302" s="8">
        <v>6</v>
      </c>
      <c r="N302" s="8">
        <v>8</v>
      </c>
      <c r="O302" s="8">
        <v>10</v>
      </c>
      <c r="P302" s="8">
        <v>20</v>
      </c>
      <c r="Q302" s="8">
        <v>30</v>
      </c>
      <c r="R302" s="8">
        <v>99</v>
      </c>
      <c r="S302" s="8">
        <v>99</v>
      </c>
    </row>
    <row r="303" spans="1:19">
      <c r="B303" s="8" t="s">
        <v>130</v>
      </c>
      <c r="C303" s="8">
        <v>3</v>
      </c>
      <c r="D303" s="8">
        <v>3</v>
      </c>
      <c r="E303" s="8">
        <v>5</v>
      </c>
      <c r="F303" s="8">
        <v>1</v>
      </c>
      <c r="G303" s="8">
        <v>15</v>
      </c>
      <c r="H303" s="8">
        <v>20</v>
      </c>
      <c r="I303" s="8">
        <v>20</v>
      </c>
      <c r="J303" s="8">
        <v>0</v>
      </c>
      <c r="K303" s="8">
        <v>0</v>
      </c>
      <c r="L303" s="8">
        <v>1</v>
      </c>
      <c r="M303" s="8">
        <v>2</v>
      </c>
      <c r="N303" s="8">
        <v>4</v>
      </c>
      <c r="O303" s="8">
        <v>6</v>
      </c>
      <c r="P303" s="8">
        <v>8</v>
      </c>
      <c r="Q303" s="8">
        <v>10</v>
      </c>
      <c r="R303" s="8">
        <v>99</v>
      </c>
      <c r="S303" s="8">
        <v>99</v>
      </c>
    </row>
    <row r="304" spans="1:19">
      <c r="B304" s="8" t="s">
        <v>282</v>
      </c>
      <c r="C304" s="8">
        <v>5</v>
      </c>
      <c r="D304" s="8">
        <v>4</v>
      </c>
      <c r="E304" s="8">
        <v>5</v>
      </c>
      <c r="F304" s="8">
        <v>1</v>
      </c>
      <c r="G304" s="8">
        <v>14</v>
      </c>
      <c r="H304" s="8">
        <v>20</v>
      </c>
      <c r="I304" s="8">
        <v>20</v>
      </c>
      <c r="J304" s="8">
        <v>0</v>
      </c>
      <c r="K304" s="8">
        <v>1</v>
      </c>
      <c r="L304" s="8">
        <v>2</v>
      </c>
      <c r="M304" s="8">
        <v>4</v>
      </c>
      <c r="N304" s="8">
        <v>6</v>
      </c>
      <c r="O304" s="8">
        <v>8</v>
      </c>
      <c r="P304" s="8">
        <v>10</v>
      </c>
      <c r="Q304" s="8">
        <v>99</v>
      </c>
      <c r="R304" s="8">
        <v>99</v>
      </c>
      <c r="S304" s="8">
        <v>99</v>
      </c>
    </row>
    <row r="307" spans="1:6">
      <c r="A307" s="9" t="s">
        <v>225</v>
      </c>
      <c r="B307" s="9" t="s">
        <v>203</v>
      </c>
      <c r="C307" s="10" t="s">
        <v>341</v>
      </c>
      <c r="D307" s="10" t="s">
        <v>338</v>
      </c>
    </row>
    <row r="308" spans="1:6">
      <c r="A308" s="8">
        <v>-100</v>
      </c>
      <c r="B308" s="8" t="s">
        <v>226</v>
      </c>
      <c r="C308" s="8">
        <v>0</v>
      </c>
      <c r="D308" s="8">
        <v>0</v>
      </c>
    </row>
    <row r="309" spans="1:6">
      <c r="A309" s="8">
        <v>1</v>
      </c>
      <c r="B309" s="8" t="s">
        <v>227</v>
      </c>
      <c r="C309" s="8">
        <v>1</v>
      </c>
      <c r="D309" s="8">
        <v>0.2</v>
      </c>
    </row>
    <row r="310" spans="1:6">
      <c r="A310" s="8">
        <v>2</v>
      </c>
      <c r="B310" s="8" t="s">
        <v>295</v>
      </c>
      <c r="C310" s="8">
        <v>1</v>
      </c>
      <c r="D310" s="8">
        <v>0.5</v>
      </c>
    </row>
    <row r="311" spans="1:6">
      <c r="A311" s="8">
        <v>3</v>
      </c>
      <c r="B311" s="8" t="s">
        <v>296</v>
      </c>
      <c r="C311" s="8">
        <v>1</v>
      </c>
      <c r="D311" s="8">
        <v>1</v>
      </c>
    </row>
    <row r="314" spans="1:6">
      <c r="A314" s="9" t="s">
        <v>250</v>
      </c>
      <c r="B314" s="10" t="s">
        <v>341</v>
      </c>
      <c r="C314" s="10" t="s">
        <v>338</v>
      </c>
      <c r="D314" s="10" t="s">
        <v>233</v>
      </c>
      <c r="E314" s="10" t="s">
        <v>255</v>
      </c>
      <c r="F314" s="10" t="s">
        <v>256</v>
      </c>
    </row>
    <row r="315" spans="1:6">
      <c r="A315" s="8" t="str">
        <f>""</f>
        <v/>
      </c>
      <c r="B315" s="8">
        <v>0</v>
      </c>
      <c r="C315" s="8">
        <v>0</v>
      </c>
      <c r="D315" s="8">
        <v>0</v>
      </c>
      <c r="E315" s="8">
        <v>0</v>
      </c>
      <c r="F315" s="8">
        <v>0</v>
      </c>
    </row>
    <row r="316" spans="1:6">
      <c r="A316" s="8" t="s">
        <v>184</v>
      </c>
      <c r="B316" s="8">
        <v>4</v>
      </c>
      <c r="C316" s="8">
        <v>0.6</v>
      </c>
      <c r="D316" s="8">
        <v>120</v>
      </c>
      <c r="E316" s="8">
        <v>4</v>
      </c>
      <c r="F316" s="8">
        <v>4</v>
      </c>
    </row>
    <row r="317" spans="1:6">
      <c r="A317" s="8" t="s">
        <v>345</v>
      </c>
      <c r="B317" s="8">
        <v>6</v>
      </c>
      <c r="C317" s="8">
        <v>1</v>
      </c>
      <c r="D317" s="8">
        <v>1200</v>
      </c>
      <c r="E317" s="8">
        <v>2</v>
      </c>
      <c r="F317" s="8">
        <v>0.1</v>
      </c>
    </row>
    <row r="318" spans="1:6">
      <c r="A318" s="8" t="s">
        <v>96</v>
      </c>
      <c r="B318" s="8">
        <v>8</v>
      </c>
      <c r="C318" s="8">
        <v>1</v>
      </c>
      <c r="D318" s="8">
        <v>120</v>
      </c>
      <c r="E318" s="8">
        <v>14</v>
      </c>
      <c r="F318" s="8">
        <v>2</v>
      </c>
    </row>
    <row r="319" spans="1:6">
      <c r="A319" s="8" t="s">
        <v>376</v>
      </c>
      <c r="B319" s="8">
        <v>10</v>
      </c>
      <c r="C319" s="8">
        <v>0.03</v>
      </c>
      <c r="D319" s="8">
        <v>100</v>
      </c>
      <c r="E319" s="8">
        <v>8</v>
      </c>
      <c r="F319" s="8">
        <v>0</v>
      </c>
    </row>
    <row r="320" spans="1:6">
      <c r="A320" s="8" t="s">
        <v>377</v>
      </c>
      <c r="B320" s="8">
        <v>10</v>
      </c>
      <c r="C320" s="8">
        <v>7.0000000000000007E-2</v>
      </c>
      <c r="D320" s="8">
        <v>100</v>
      </c>
      <c r="E320" s="8">
        <v>3</v>
      </c>
      <c r="F320" s="8">
        <v>0</v>
      </c>
    </row>
    <row r="323" spans="1:6">
      <c r="A323" s="9" t="s">
        <v>250</v>
      </c>
      <c r="B323" s="10" t="s">
        <v>341</v>
      </c>
      <c r="C323" s="10" t="s">
        <v>338</v>
      </c>
      <c r="D323" s="10" t="s">
        <v>233</v>
      </c>
      <c r="E323" s="10" t="s">
        <v>255</v>
      </c>
      <c r="F323" s="10" t="s">
        <v>256</v>
      </c>
    </row>
    <row r="324" spans="1:6">
      <c r="A324" s="8" t="str">
        <f>""</f>
        <v/>
      </c>
      <c r="B324" s="8">
        <v>0</v>
      </c>
      <c r="C324" s="8">
        <v>0</v>
      </c>
      <c r="D324" s="8">
        <v>0</v>
      </c>
      <c r="E324" s="8">
        <v>0</v>
      </c>
      <c r="F324" s="8">
        <v>0</v>
      </c>
    </row>
    <row r="325" spans="1:6">
      <c r="A325" s="8" t="s">
        <v>138</v>
      </c>
      <c r="B325" s="8">
        <v>20</v>
      </c>
      <c r="C325" s="8">
        <v>14</v>
      </c>
      <c r="D325" s="8">
        <v>1</v>
      </c>
      <c r="E325" s="8">
        <v>2</v>
      </c>
      <c r="F325" s="8">
        <v>13</v>
      </c>
    </row>
    <row r="326" spans="1:6">
      <c r="A326" s="8" t="s">
        <v>402</v>
      </c>
      <c r="B326" s="8">
        <v>20</v>
      </c>
      <c r="C326" s="8">
        <v>15</v>
      </c>
      <c r="D326" s="8">
        <v>3</v>
      </c>
      <c r="E326" s="8">
        <v>2</v>
      </c>
      <c r="F326" s="8">
        <v>10</v>
      </c>
    </row>
    <row r="327" spans="1:6">
      <c r="A327" s="8" t="s">
        <v>122</v>
      </c>
      <c r="B327" s="8">
        <v>30</v>
      </c>
      <c r="C327" s="8">
        <v>16</v>
      </c>
      <c r="D327" s="8">
        <v>6</v>
      </c>
      <c r="E327" s="8">
        <v>2</v>
      </c>
      <c r="F327" s="8">
        <v>13.7</v>
      </c>
    </row>
    <row r="328" spans="1:6">
      <c r="A328" s="8" t="s">
        <v>379</v>
      </c>
      <c r="B328" s="8">
        <v>30</v>
      </c>
      <c r="C328" s="8">
        <v>15</v>
      </c>
      <c r="D328" s="8">
        <v>3</v>
      </c>
      <c r="E328" s="8">
        <v>2</v>
      </c>
      <c r="F328" s="8">
        <v>19.899999999999999</v>
      </c>
    </row>
    <row r="329" spans="1:6">
      <c r="A329" s="8" t="s">
        <v>312</v>
      </c>
      <c r="B329" s="8">
        <v>40</v>
      </c>
      <c r="C329" s="8">
        <v>20</v>
      </c>
      <c r="D329" s="8">
        <v>5</v>
      </c>
      <c r="E329" s="8">
        <v>2</v>
      </c>
      <c r="F329" s="8">
        <v>22.4</v>
      </c>
    </row>
    <row r="330" spans="1:6">
      <c r="A330" s="8" t="s">
        <v>3</v>
      </c>
      <c r="B330" s="8">
        <v>40</v>
      </c>
      <c r="C330" s="8">
        <v>18</v>
      </c>
      <c r="D330" s="8">
        <v>2</v>
      </c>
      <c r="E330" s="8">
        <v>2</v>
      </c>
      <c r="F330" s="8">
        <v>31.6</v>
      </c>
    </row>
    <row r="331" spans="1:6">
      <c r="A331" s="8" t="s">
        <v>156</v>
      </c>
      <c r="B331" s="8">
        <v>50</v>
      </c>
      <c r="C331" s="8">
        <v>28</v>
      </c>
      <c r="D331" s="8">
        <v>4</v>
      </c>
      <c r="E331" s="8">
        <v>2</v>
      </c>
      <c r="F331" s="8">
        <v>2.5</v>
      </c>
    </row>
    <row r="332" spans="1:6">
      <c r="A332" s="8" t="s">
        <v>24</v>
      </c>
      <c r="B332" s="8">
        <v>30</v>
      </c>
      <c r="C332" s="8">
        <v>2</v>
      </c>
      <c r="D332" s="8">
        <v>0</v>
      </c>
      <c r="E332" s="8">
        <v>0</v>
      </c>
      <c r="F332" s="8">
        <v>30</v>
      </c>
    </row>
    <row r="333" spans="1:6">
      <c r="A333" s="8" t="s">
        <v>106</v>
      </c>
      <c r="B333" s="8">
        <v>95</v>
      </c>
      <c r="C333" s="8">
        <v>33</v>
      </c>
      <c r="D333" s="8">
        <v>3</v>
      </c>
      <c r="E333" s="8">
        <v>2</v>
      </c>
      <c r="F333" s="8">
        <v>71</v>
      </c>
    </row>
    <row r="334" spans="1:6">
      <c r="A334" s="8" t="s">
        <v>252</v>
      </c>
      <c r="B334" s="8">
        <v>10</v>
      </c>
      <c r="C334" s="8">
        <v>18</v>
      </c>
      <c r="D334" s="8">
        <v>6</v>
      </c>
      <c r="E334" s="8">
        <v>1</v>
      </c>
      <c r="F334" s="8">
        <v>0</v>
      </c>
    </row>
    <row r="335" spans="1:6">
      <c r="A335" s="8" t="s">
        <v>131</v>
      </c>
      <c r="B335" s="8">
        <v>50</v>
      </c>
      <c r="C335" s="8">
        <v>105.33</v>
      </c>
      <c r="D335" s="8">
        <v>6</v>
      </c>
      <c r="E335" s="8">
        <v>2</v>
      </c>
      <c r="F335" s="8">
        <v>0</v>
      </c>
    </row>
    <row r="336" spans="1:6">
      <c r="A336" s="8" t="s">
        <v>132</v>
      </c>
      <c r="B336" s="8">
        <v>50</v>
      </c>
      <c r="C336" s="8">
        <v>12.8</v>
      </c>
      <c r="D336" s="8">
        <v>3</v>
      </c>
      <c r="E336" s="8">
        <v>2</v>
      </c>
      <c r="F336" s="8">
        <v>35</v>
      </c>
    </row>
    <row r="339" spans="1:1">
      <c r="A339" s="9" t="s">
        <v>288</v>
      </c>
    </row>
    <row r="340" spans="1:1">
      <c r="A340" s="8" t="s">
        <v>397</v>
      </c>
    </row>
    <row r="341" spans="1:1">
      <c r="A341" s="8" t="s">
        <v>288</v>
      </c>
    </row>
  </sheetData>
  <sheetCalcPr fullCalcOnLoad="1"/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Ship</vt:lpstr>
      <vt:lpstr>USP</vt:lpstr>
      <vt:lpstr>Tables</vt:lpstr>
    </vt:vector>
  </TitlesOfParts>
  <Company>Hans Björk AB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Björk</dc:creator>
  <cp:lastModifiedBy>Hans Björk</cp:lastModifiedBy>
  <cp:lastPrinted>2020-04-18T17:36:57Z</cp:lastPrinted>
  <dcterms:created xsi:type="dcterms:W3CDTF">2011-04-30T15:08:00Z</dcterms:created>
  <dcterms:modified xsi:type="dcterms:W3CDTF">2020-04-20T13:33:58Z</dcterms:modified>
</cp:coreProperties>
</file>