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2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1140" yWindow="120" windowWidth="17680" windowHeight="23960" tabRatio="500" activeTab="1"/>
  </bookViews>
  <sheets>
    <sheet name="Description" sheetId="4" r:id="rId1"/>
    <sheet name="Ship" sheetId="1" r:id="rId2"/>
    <sheet name="Tables" sheetId="2" r:id="rId3"/>
  </sheets>
  <definedNames>
    <definedName name="AddArmour">Ship!$AF$15</definedName>
    <definedName name="AdvJump">Tables!$A$134:$A$139</definedName>
    <definedName name="AdvJumpAdv">Tables!$L$128:$L$131</definedName>
    <definedName name="AdvJumpDis">Tables!$N$128:$N$130</definedName>
    <definedName name="AdvJumpOnce">Tables!$M$128:$M$137</definedName>
    <definedName name="AdvManAdv">Tables!$O$128:$O$129</definedName>
    <definedName name="AdvManDis">Tables!$Q$128:$Q$129</definedName>
    <definedName name="AdvManOnce">Tables!$P$128:$P$134</definedName>
    <definedName name="AdvPPAdv">Tables!$U$128:$U$129</definedName>
    <definedName name="AdvPPDis">Tables!$W$128:$W$129</definedName>
    <definedName name="AdvPPOnce">Tables!$V$128:$V$132</definedName>
    <definedName name="AdvReacAdv">Tables!$R$128:$R$129</definedName>
    <definedName name="AdvReacDis">Tables!$T$128:$T$129</definedName>
    <definedName name="AdvReacOnce">Tables!$S$128:$S$132</definedName>
    <definedName name="AltAccomodation">Tables!$A$331:$A$338</definedName>
    <definedName name="AvgFilledCapacity">Ship!$L$191</definedName>
    <definedName name="CargoEquipment">Tables!$A$352:$A$358</definedName>
    <definedName name="Configs">Tables!$B$40:$B$46</definedName>
    <definedName name="Cost">Ship!$H$6</definedName>
    <definedName name="Crew">Ship!$D$165</definedName>
    <definedName name="DisadvDrive">Tables!$A$131:$A$132</definedName>
    <definedName name="DisadvDriveJump">Tables!$A$131:$A$133</definedName>
    <definedName name="DisadvDriveMan">Tables!$A$129:$A$132</definedName>
    <definedName name="Double">Ship!$A$8</definedName>
    <definedName name="DriveCapacity">Ship!$B$37</definedName>
    <definedName name="DropTanks">Ship!$B$47</definedName>
    <definedName name="DropTankTable">Tables!$A$145:$A$147</definedName>
    <definedName name="ExternalLoad">Ship!$B$35</definedName>
    <definedName name="HighPassengers">Ship!$D$185</definedName>
    <definedName name="Hull">Ship!$H$10</definedName>
    <definedName name="HullStrengths">Tables!$B$50:$B$52</definedName>
    <definedName name="JumpN">Ship!$I$32</definedName>
    <definedName name="LargeShip">Ship!$A$166</definedName>
    <definedName name="LowPassengers">Ship!$D$187</definedName>
    <definedName name="MidPassengers">Ship!$D$186</definedName>
    <definedName name="Military">Ship!$A$7</definedName>
    <definedName name="newline">Description!$O$1</definedName>
    <definedName name="Pods">Ship!$B$34</definedName>
    <definedName name="Station">Ship!$B$8</definedName>
    <definedName name="Structure">Ship!$E$7</definedName>
    <definedName name="TL">Ship!$A$6</definedName>
    <definedName name="_xlnm.Print_Area" localSheetId="1">Ship!$A$6:$N$205</definedName>
    <definedName name="ValidBarbettes">Tables!$A$446:$A$456</definedName>
    <definedName name="ValidBays">Ship!$AA$219:$AA$228</definedName>
    <definedName name="ValidBridge">Tables!$A$174:$A$175</definedName>
    <definedName name="ValidCockpit">Tables!$D$174:$D$175</definedName>
    <definedName name="ValidCompMod">Tables!$B$190:$B$193</definedName>
    <definedName name="ValidCraft">Tables!$A$544:$A$565</definedName>
    <definedName name="ValidDriveBase">Tables!$A$84:$A$85</definedName>
    <definedName name="ValidFacilities">Tables!$A$322:$A$358</definedName>
    <definedName name="ValidHangars">Tables!$A$526:$A$532</definedName>
    <definedName name="ValidHullOptions">Tables!$A$63:$A$74</definedName>
    <definedName name="ValidLargeBay">Tables!$A$403:$A$413</definedName>
    <definedName name="ValidMediumBay">Tables!$A$416:$A$427</definedName>
    <definedName name="ValidResidential">Tables!$A$370:$A$373</definedName>
    <definedName name="ValidScreens">Tables!$A$501:$A$505</definedName>
    <definedName name="ValidSensors">Tables!$A$306:$A$318</definedName>
    <definedName name="ValidSmallBay">Tables!$A$430:$A$443</definedName>
    <definedName name="ValidSmallerWpns">Tables!$A$478:$A$498</definedName>
    <definedName name="ValidSpinal">Tables!$B$378:$B$381</definedName>
    <definedName name="ValidTurrets">Tables!$A$459:$A$468</definedName>
    <definedName name="vowels">Description!$Q$1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O70" i="4"/>
  <c r="P70"/>
  <c r="Q70"/>
  <c r="R70"/>
  <c r="S70"/>
  <c r="T70"/>
  <c r="X70"/>
  <c r="X74"/>
  <c r="X75"/>
  <c r="X71"/>
  <c r="X77"/>
  <c r="Y70"/>
  <c r="Y74"/>
  <c r="Y75"/>
  <c r="Y71"/>
  <c r="Y77"/>
  <c r="Z70"/>
  <c r="Z74"/>
  <c r="Z75"/>
  <c r="Z71"/>
  <c r="Z77"/>
  <c r="AA70"/>
  <c r="AA74"/>
  <c r="AA75"/>
  <c r="AA71"/>
  <c r="AA77"/>
  <c r="AB70"/>
  <c r="AB74"/>
  <c r="AB75"/>
  <c r="AB71"/>
  <c r="AB77"/>
  <c r="AC70"/>
  <c r="AC74"/>
  <c r="AC75"/>
  <c r="AC71"/>
  <c r="AC77"/>
  <c r="AD70"/>
  <c r="AD74"/>
  <c r="AD75"/>
  <c r="AD71"/>
  <c r="AD77"/>
  <c r="N70"/>
  <c r="N48"/>
  <c r="O48"/>
  <c r="P48"/>
  <c r="Q48"/>
  <c r="T48"/>
  <c r="U48"/>
  <c r="V48"/>
  <c r="W48"/>
  <c r="X48"/>
  <c r="Y48"/>
  <c r="Z55"/>
  <c r="Y55"/>
  <c r="X55"/>
  <c r="W55"/>
  <c r="V55"/>
  <c r="U55"/>
  <c r="T55"/>
  <c r="Q32"/>
  <c r="R32"/>
  <c r="S32"/>
  <c r="T32"/>
  <c r="U32"/>
  <c r="V32"/>
  <c r="W32"/>
  <c r="X32"/>
  <c r="Y32"/>
  <c r="N32"/>
  <c r="X76"/>
  <c r="Y76"/>
  <c r="Z76"/>
  <c r="AA76"/>
  <c r="AB76"/>
  <c r="AC76"/>
  <c r="AD76"/>
  <c r="X72"/>
  <c r="Y72"/>
  <c r="Z72"/>
  <c r="AA72"/>
  <c r="AB72"/>
  <c r="AC72"/>
  <c r="AD72"/>
  <c r="AE81"/>
  <c r="AD81"/>
  <c r="AC81"/>
  <c r="AB81"/>
  <c r="AA81"/>
  <c r="Z81"/>
  <c r="Y81"/>
  <c r="X81"/>
  <c r="O58"/>
  <c r="O57"/>
  <c r="P58"/>
  <c r="P57"/>
  <c r="Q58"/>
  <c r="Q57"/>
  <c r="U58"/>
  <c r="U57"/>
  <c r="U61"/>
  <c r="V58"/>
  <c r="V57"/>
  <c r="V61"/>
  <c r="W58"/>
  <c r="W57"/>
  <c r="W61"/>
  <c r="X58"/>
  <c r="X57"/>
  <c r="X61"/>
  <c r="Y58"/>
  <c r="Y57"/>
  <c r="Y61"/>
  <c r="N58"/>
  <c r="N57"/>
  <c r="N61"/>
  <c r="O59"/>
  <c r="P60"/>
  <c r="U62"/>
  <c r="U60"/>
  <c r="U63"/>
  <c r="U64"/>
  <c r="V62"/>
  <c r="V60"/>
  <c r="V63"/>
  <c r="V64"/>
  <c r="W62"/>
  <c r="W60"/>
  <c r="W63"/>
  <c r="W64"/>
  <c r="X62"/>
  <c r="X60"/>
  <c r="X63"/>
  <c r="X64"/>
  <c r="Y62"/>
  <c r="Y60"/>
  <c r="Y63"/>
  <c r="Y64"/>
  <c r="N62"/>
  <c r="N60"/>
  <c r="N63"/>
  <c r="N64"/>
  <c r="P59"/>
  <c r="Q59"/>
  <c r="U59"/>
  <c r="V59"/>
  <c r="W59"/>
  <c r="X59"/>
  <c r="Y59"/>
  <c r="N59"/>
  <c r="O60"/>
  <c r="Q60"/>
  <c r="N87"/>
  <c r="O87"/>
  <c r="U87"/>
  <c r="V87"/>
  <c r="W87"/>
  <c r="X87"/>
  <c r="Y87"/>
  <c r="U84"/>
  <c r="V84"/>
  <c r="W84"/>
  <c r="X84"/>
  <c r="Y84"/>
  <c r="N84"/>
  <c r="O45"/>
  <c r="P45"/>
  <c r="Q45"/>
  <c r="T45"/>
  <c r="U45"/>
  <c r="V45"/>
  <c r="W45"/>
  <c r="X45"/>
  <c r="Y45"/>
  <c r="N45"/>
  <c r="Q35"/>
  <c r="R35"/>
  <c r="S35"/>
  <c r="T35"/>
  <c r="U35"/>
  <c r="V35"/>
  <c r="W35"/>
  <c r="X35"/>
  <c r="Y35"/>
  <c r="N35"/>
  <c r="J32"/>
  <c r="M11"/>
  <c r="N101"/>
  <c r="O101"/>
  <c r="P101"/>
  <c r="Q101"/>
  <c r="R101"/>
  <c r="R105"/>
  <c r="R108"/>
  <c r="S101"/>
  <c r="S108"/>
  <c r="T101"/>
  <c r="T108"/>
  <c r="U101"/>
  <c r="U108"/>
  <c r="V101"/>
  <c r="V108"/>
  <c r="W101"/>
  <c r="W108"/>
  <c r="X101"/>
  <c r="X108"/>
  <c r="Y101"/>
  <c r="Y108"/>
  <c r="Z101"/>
  <c r="Z108"/>
  <c r="AA101"/>
  <c r="AA108"/>
  <c r="AB101"/>
  <c r="AB108"/>
  <c r="AC101"/>
  <c r="AC108"/>
  <c r="AD101"/>
  <c r="AD108"/>
  <c r="AE101"/>
  <c r="AE108"/>
  <c r="AF101"/>
  <c r="AF108"/>
  <c r="T83"/>
  <c r="U83"/>
  <c r="V83"/>
  <c r="W83"/>
  <c r="X83"/>
  <c r="Y83"/>
  <c r="R109"/>
  <c r="R110"/>
  <c r="X109"/>
  <c r="X102"/>
  <c r="X110"/>
  <c r="X111"/>
  <c r="Y109"/>
  <c r="Y102"/>
  <c r="Y110"/>
  <c r="Y111"/>
  <c r="Z109"/>
  <c r="Z102"/>
  <c r="Z110"/>
  <c r="Z111"/>
  <c r="AA109"/>
  <c r="AA102"/>
  <c r="AA110"/>
  <c r="AA111"/>
  <c r="AB109"/>
  <c r="AB102"/>
  <c r="AB110"/>
  <c r="AB111"/>
  <c r="AC109"/>
  <c r="AC102"/>
  <c r="AC110"/>
  <c r="AC111"/>
  <c r="AD109"/>
  <c r="AD102"/>
  <c r="AD110"/>
  <c r="AD111"/>
  <c r="AE109"/>
  <c r="AE102"/>
  <c r="AE110"/>
  <c r="AE111"/>
  <c r="AF109"/>
  <c r="AF102"/>
  <c r="AF110"/>
  <c r="AF111"/>
  <c r="N102"/>
  <c r="O102"/>
  <c r="P102"/>
  <c r="Q102"/>
  <c r="W109"/>
  <c r="W102"/>
  <c r="W110"/>
  <c r="W111"/>
  <c r="V109"/>
  <c r="V102"/>
  <c r="V110"/>
  <c r="V111"/>
  <c r="U109"/>
  <c r="U102"/>
  <c r="U110"/>
  <c r="U111"/>
  <c r="T109"/>
  <c r="T102"/>
  <c r="T110"/>
  <c r="T111"/>
  <c r="S109"/>
  <c r="S102"/>
  <c r="S110"/>
  <c r="S111"/>
  <c r="O1"/>
  <c r="O103"/>
  <c r="O105"/>
  <c r="P103"/>
  <c r="Q103"/>
  <c r="Q105"/>
  <c r="AG118"/>
  <c r="AF118"/>
  <c r="AE118"/>
  <c r="AD118"/>
  <c r="AC118"/>
  <c r="AB118"/>
  <c r="AA118"/>
  <c r="Z118"/>
  <c r="Y118"/>
  <c r="X118"/>
  <c r="W118"/>
  <c r="V118"/>
  <c r="U118"/>
  <c r="T118"/>
  <c r="S118"/>
  <c r="P105"/>
  <c r="S105"/>
  <c r="T105"/>
  <c r="U105"/>
  <c r="V105"/>
  <c r="W105"/>
  <c r="X105"/>
  <c r="Y105"/>
  <c r="Z105"/>
  <c r="AA105"/>
  <c r="AB105"/>
  <c r="AC105"/>
  <c r="AD105"/>
  <c r="AE105"/>
  <c r="AF105"/>
  <c r="N105"/>
  <c r="AF112"/>
  <c r="AF113"/>
  <c r="AF114"/>
  <c r="AE112"/>
  <c r="AE113"/>
  <c r="AE114"/>
  <c r="AD112"/>
  <c r="AD113"/>
  <c r="AD114"/>
  <c r="AC112"/>
  <c r="AC113"/>
  <c r="AC114"/>
  <c r="AB112"/>
  <c r="AB113"/>
  <c r="AB114"/>
  <c r="AA112"/>
  <c r="AA113"/>
  <c r="AA114"/>
  <c r="Z112"/>
  <c r="Z113"/>
  <c r="Z114"/>
  <c r="Y112"/>
  <c r="Y113"/>
  <c r="Y114"/>
  <c r="X112"/>
  <c r="X113"/>
  <c r="X114"/>
  <c r="W112"/>
  <c r="W113"/>
  <c r="W114"/>
  <c r="V112"/>
  <c r="V113"/>
  <c r="V114"/>
  <c r="U112"/>
  <c r="U113"/>
  <c r="U114"/>
  <c r="T112"/>
  <c r="T113"/>
  <c r="T114"/>
  <c r="S112"/>
  <c r="S113"/>
  <c r="S114"/>
  <c r="AF106"/>
  <c r="AE106"/>
  <c r="AD106"/>
  <c r="AC106"/>
  <c r="AB106"/>
  <c r="AA106"/>
  <c r="Z106"/>
  <c r="Y106"/>
  <c r="X106"/>
  <c r="W106"/>
  <c r="V106"/>
  <c r="U106"/>
  <c r="T106"/>
  <c r="S106"/>
  <c r="R106"/>
  <c r="Q106"/>
  <c r="P106"/>
  <c r="O106"/>
  <c r="N106"/>
  <c r="AF103"/>
  <c r="AE103"/>
  <c r="AD103"/>
  <c r="AC103"/>
  <c r="AB103"/>
  <c r="AA103"/>
  <c r="Z103"/>
  <c r="Y103"/>
  <c r="X103"/>
  <c r="W103"/>
  <c r="V103"/>
  <c r="U103"/>
  <c r="T103"/>
  <c r="S103"/>
  <c r="N103"/>
  <c r="M103"/>
  <c r="Z94"/>
  <c r="Y94"/>
  <c r="X94"/>
  <c r="W94"/>
  <c r="V94"/>
  <c r="N89"/>
  <c r="Y88"/>
  <c r="Y89"/>
  <c r="Y90"/>
  <c r="X88"/>
  <c r="X89"/>
  <c r="X90"/>
  <c r="W88"/>
  <c r="W89"/>
  <c r="W90"/>
  <c r="V88"/>
  <c r="V89"/>
  <c r="V90"/>
  <c r="Y85"/>
  <c r="X85"/>
  <c r="W85"/>
  <c r="V85"/>
  <c r="M85"/>
  <c r="Z68"/>
  <c r="Y68"/>
  <c r="X68"/>
  <c r="W68"/>
  <c r="V68"/>
  <c r="U68"/>
  <c r="M72"/>
  <c r="M59"/>
  <c r="N50"/>
  <c r="Y49"/>
  <c r="Y50"/>
  <c r="Y51"/>
  <c r="X49"/>
  <c r="X50"/>
  <c r="X51"/>
  <c r="W49"/>
  <c r="W50"/>
  <c r="W51"/>
  <c r="V49"/>
  <c r="V50"/>
  <c r="V51"/>
  <c r="U49"/>
  <c r="U50"/>
  <c r="U51"/>
  <c r="T49"/>
  <c r="T50"/>
  <c r="T51"/>
  <c r="Q49"/>
  <c r="Q50"/>
  <c r="Q51"/>
  <c r="P49"/>
  <c r="P50"/>
  <c r="P51"/>
  <c r="Y46"/>
  <c r="X46"/>
  <c r="W46"/>
  <c r="V46"/>
  <c r="U46"/>
  <c r="T46"/>
  <c r="Q46"/>
  <c r="P46"/>
  <c r="M46"/>
  <c r="M13"/>
  <c r="M12"/>
  <c r="R33"/>
  <c r="Y36"/>
  <c r="Y37"/>
  <c r="Y38"/>
  <c r="X36"/>
  <c r="X37"/>
  <c r="X38"/>
  <c r="W36"/>
  <c r="W37"/>
  <c r="W38"/>
  <c r="V36"/>
  <c r="V37"/>
  <c r="V38"/>
  <c r="U36"/>
  <c r="U37"/>
  <c r="U38"/>
  <c r="T36"/>
  <c r="T37"/>
  <c r="T38"/>
  <c r="Y33"/>
  <c r="X33"/>
  <c r="W33"/>
  <c r="V33"/>
  <c r="U33"/>
  <c r="T33"/>
  <c r="S33"/>
  <c r="Q33"/>
  <c r="N33"/>
  <c r="M33"/>
  <c r="O20"/>
  <c r="P20"/>
  <c r="R20"/>
  <c r="Z29"/>
  <c r="Y29"/>
  <c r="X29"/>
  <c r="X23"/>
  <c r="Y23"/>
  <c r="N20"/>
  <c r="Y24"/>
  <c r="Y25"/>
  <c r="X24"/>
  <c r="X25"/>
  <c r="Y20"/>
  <c r="X20"/>
  <c r="W20"/>
  <c r="U20"/>
  <c r="T20"/>
  <c r="Q20"/>
  <c r="M20"/>
  <c r="O6"/>
  <c r="R113"/>
  <c r="R112"/>
  <c r="R114"/>
  <c r="R118"/>
  <c r="R37"/>
  <c r="R36"/>
  <c r="R38"/>
  <c r="U94"/>
  <c r="U85"/>
  <c r="U89"/>
  <c r="U88"/>
  <c r="U90"/>
  <c r="N37"/>
  <c r="N36"/>
  <c r="N38"/>
  <c r="Q37"/>
  <c r="Q36"/>
  <c r="Q38"/>
  <c r="S37"/>
  <c r="S36"/>
  <c r="S38"/>
  <c r="O89"/>
  <c r="N85"/>
  <c r="N88"/>
  <c r="N90"/>
  <c r="O46"/>
  <c r="O50"/>
  <c r="O49"/>
  <c r="O51"/>
  <c r="N46"/>
  <c r="N49"/>
  <c r="N51"/>
  <c r="O72"/>
  <c r="T72"/>
  <c r="S72"/>
  <c r="O74"/>
  <c r="O76"/>
  <c r="O71"/>
  <c r="O75"/>
  <c r="O77"/>
  <c r="T74"/>
  <c r="T76"/>
  <c r="T71"/>
  <c r="T75"/>
  <c r="T77"/>
  <c r="N74"/>
  <c r="N75"/>
  <c r="N71"/>
  <c r="N77"/>
  <c r="R48"/>
  <c r="R50"/>
  <c r="P61"/>
  <c r="P63"/>
  <c r="P62"/>
  <c r="P64"/>
  <c r="R58"/>
  <c r="R57"/>
  <c r="R59"/>
  <c r="S58"/>
  <c r="S57"/>
  <c r="S61"/>
  <c r="S62"/>
  <c r="S60"/>
  <c r="S63"/>
  <c r="S64"/>
  <c r="S59"/>
  <c r="R60"/>
  <c r="T84"/>
  <c r="T85"/>
  <c r="O96"/>
  <c r="O97"/>
  <c r="O98"/>
  <c r="O99"/>
  <c r="R102"/>
  <c r="R103"/>
  <c r="R111"/>
  <c r="W22"/>
  <c r="W24"/>
  <c r="W23"/>
  <c r="W25"/>
  <c r="W29"/>
  <c r="M96"/>
  <c r="M97"/>
  <c r="M98"/>
  <c r="M99"/>
  <c r="G14"/>
  <c r="R87"/>
  <c r="R89"/>
  <c r="Q87"/>
  <c r="Q89"/>
  <c r="O84"/>
  <c r="O85"/>
  <c r="O88"/>
  <c r="O90"/>
  <c r="R84"/>
  <c r="R85"/>
  <c r="R88"/>
  <c r="R90"/>
  <c r="T87"/>
  <c r="T89"/>
  <c r="T88"/>
  <c r="T90"/>
  <c r="T94"/>
  <c r="Q84"/>
  <c r="Q85"/>
  <c r="Q88"/>
  <c r="Q90"/>
  <c r="O61"/>
  <c r="O63"/>
  <c r="O62"/>
  <c r="O64"/>
  <c r="R61"/>
  <c r="R63"/>
  <c r="R62"/>
  <c r="R64"/>
  <c r="P87"/>
  <c r="P89"/>
  <c r="M8"/>
  <c r="Q22"/>
  <c r="Q24"/>
  <c r="Q23"/>
  <c r="Q25"/>
  <c r="P84"/>
  <c r="P85"/>
  <c r="P88"/>
  <c r="P90"/>
  <c r="S48"/>
  <c r="M48"/>
  <c r="R52"/>
  <c r="S52"/>
  <c r="S45"/>
  <c r="S46"/>
  <c r="S50"/>
  <c r="S49"/>
  <c r="S51"/>
  <c r="S53"/>
  <c r="S54"/>
  <c r="S55"/>
  <c r="M7"/>
  <c r="M10"/>
  <c r="P22"/>
  <c r="P24"/>
  <c r="P23"/>
  <c r="P25"/>
  <c r="O22"/>
  <c r="O24"/>
  <c r="O23"/>
  <c r="O25"/>
  <c r="N52"/>
  <c r="O52"/>
  <c r="O53"/>
  <c r="O54"/>
  <c r="N14"/>
  <c r="N11"/>
  <c r="N12"/>
  <c r="N13"/>
  <c r="L48"/>
  <c r="L49"/>
  <c r="M50"/>
  <c r="M49"/>
  <c r="M51"/>
  <c r="M54"/>
  <c r="P52"/>
  <c r="P53"/>
  <c r="P54"/>
  <c r="Q52"/>
  <c r="Q53"/>
  <c r="Q54"/>
  <c r="T52"/>
  <c r="T53"/>
  <c r="T54"/>
  <c r="U52"/>
  <c r="U53"/>
  <c r="U54"/>
  <c r="V52"/>
  <c r="V53"/>
  <c r="V54"/>
  <c r="W52"/>
  <c r="W53"/>
  <c r="W54"/>
  <c r="X52"/>
  <c r="X53"/>
  <c r="X54"/>
  <c r="Y52"/>
  <c r="Y53"/>
  <c r="Y54"/>
  <c r="N53"/>
  <c r="N54"/>
  <c r="T58"/>
  <c r="T57"/>
  <c r="T59"/>
  <c r="T60"/>
  <c r="N72"/>
  <c r="N76"/>
  <c r="L31"/>
  <c r="P32"/>
  <c r="P33"/>
  <c r="O32"/>
  <c r="O33"/>
  <c r="O35"/>
  <c r="O37"/>
  <c r="O36"/>
  <c r="O38"/>
  <c r="P35"/>
  <c r="P37"/>
  <c r="P36"/>
  <c r="P38"/>
  <c r="M35"/>
  <c r="Y39"/>
  <c r="Y40"/>
  <c r="Y41"/>
  <c r="X39"/>
  <c r="X40"/>
  <c r="X41"/>
  <c r="W39"/>
  <c r="W40"/>
  <c r="W41"/>
  <c r="V39"/>
  <c r="V40"/>
  <c r="V41"/>
  <c r="U39"/>
  <c r="U40"/>
  <c r="U41"/>
  <c r="N39"/>
  <c r="T39"/>
  <c r="M37"/>
  <c r="M36"/>
  <c r="M38"/>
  <c r="M41"/>
  <c r="L35"/>
  <c r="L36"/>
  <c r="O39"/>
  <c r="Q39"/>
  <c r="P39"/>
  <c r="Z42"/>
  <c r="Y42"/>
  <c r="X42"/>
  <c r="W42"/>
  <c r="V42"/>
  <c r="U42"/>
  <c r="T42"/>
  <c r="S42"/>
  <c r="R42"/>
  <c r="Q42"/>
  <c r="N40"/>
  <c r="N41"/>
  <c r="R39"/>
  <c r="R40"/>
  <c r="R41"/>
  <c r="T40"/>
  <c r="T41"/>
  <c r="S39"/>
  <c r="S40"/>
  <c r="S41"/>
  <c r="Q40"/>
  <c r="Q41"/>
  <c r="P40"/>
  <c r="P41"/>
  <c r="P42"/>
  <c r="O40"/>
  <c r="O41"/>
  <c r="O42"/>
  <c r="N42"/>
  <c r="L42"/>
  <c r="G8"/>
  <c r="T22"/>
  <c r="T24"/>
  <c r="T23"/>
  <c r="T25"/>
  <c r="U70"/>
  <c r="U74"/>
  <c r="U75"/>
  <c r="U71"/>
  <c r="U77"/>
  <c r="U76"/>
  <c r="U72"/>
  <c r="V70"/>
  <c r="V74"/>
  <c r="V75"/>
  <c r="V71"/>
  <c r="V77"/>
  <c r="V72"/>
  <c r="V76"/>
  <c r="W70"/>
  <c r="W74"/>
  <c r="W71"/>
  <c r="W72"/>
  <c r="W76"/>
  <c r="W75"/>
  <c r="W77"/>
  <c r="W81"/>
  <c r="V81"/>
  <c r="U81"/>
  <c r="T81"/>
  <c r="S87"/>
  <c r="S89"/>
  <c r="M87"/>
  <c r="N91"/>
  <c r="T91"/>
  <c r="T92"/>
  <c r="T93"/>
  <c r="R91"/>
  <c r="R92"/>
  <c r="R93"/>
  <c r="Q91"/>
  <c r="Q92"/>
  <c r="Q93"/>
  <c r="O91"/>
  <c r="S91"/>
  <c r="U91"/>
  <c r="V91"/>
  <c r="W91"/>
  <c r="X91"/>
  <c r="Y91"/>
  <c r="M89"/>
  <c r="M88"/>
  <c r="M90"/>
  <c r="M93"/>
  <c r="L87"/>
  <c r="L88"/>
  <c r="U92"/>
  <c r="U93"/>
  <c r="Y92"/>
  <c r="Y93"/>
  <c r="X92"/>
  <c r="X93"/>
  <c r="W92"/>
  <c r="W93"/>
  <c r="V92"/>
  <c r="V93"/>
  <c r="N92"/>
  <c r="N93"/>
  <c r="P91"/>
  <c r="S94"/>
  <c r="R94"/>
  <c r="Q94"/>
  <c r="P94"/>
  <c r="O92"/>
  <c r="O93"/>
  <c r="O94"/>
  <c r="N94"/>
  <c r="L94"/>
  <c r="G10"/>
  <c r="P92"/>
  <c r="P93"/>
  <c r="R53"/>
  <c r="L6"/>
  <c r="S84"/>
  <c r="S85"/>
  <c r="S88"/>
  <c r="S90"/>
  <c r="S92"/>
  <c r="S93"/>
  <c r="P108"/>
  <c r="P110"/>
  <c r="P113"/>
  <c r="P112"/>
  <c r="P114"/>
  <c r="P109"/>
  <c r="P111"/>
  <c r="N108"/>
  <c r="N110"/>
  <c r="N113"/>
  <c r="N112"/>
  <c r="N114"/>
  <c r="N109"/>
  <c r="N111"/>
  <c r="Q108"/>
  <c r="Q110"/>
  <c r="Q113"/>
  <c r="Q112"/>
  <c r="Q114"/>
  <c r="Q109"/>
  <c r="Q111"/>
  <c r="Q118"/>
  <c r="P118"/>
  <c r="O108"/>
  <c r="O110"/>
  <c r="O109"/>
  <c r="O111"/>
  <c r="O113"/>
  <c r="O112"/>
  <c r="O114"/>
  <c r="M108"/>
  <c r="M110"/>
  <c r="Q115"/>
  <c r="M109"/>
  <c r="M111"/>
  <c r="Q116"/>
  <c r="Q117"/>
  <c r="O115"/>
  <c r="O116"/>
  <c r="O117"/>
  <c r="P115"/>
  <c r="P116"/>
  <c r="P117"/>
  <c r="N115"/>
  <c r="N116"/>
  <c r="N117"/>
  <c r="O118"/>
  <c r="N118"/>
  <c r="L118"/>
  <c r="L108"/>
  <c r="G15"/>
  <c r="R115"/>
  <c r="S115"/>
  <c r="T115"/>
  <c r="U115"/>
  <c r="V115"/>
  <c r="W115"/>
  <c r="X115"/>
  <c r="Y115"/>
  <c r="Z115"/>
  <c r="AA115"/>
  <c r="AB115"/>
  <c r="AC115"/>
  <c r="AD115"/>
  <c r="AE115"/>
  <c r="AF115"/>
  <c r="M117"/>
  <c r="AF116"/>
  <c r="AF117"/>
  <c r="AE116"/>
  <c r="AE117"/>
  <c r="AD116"/>
  <c r="AD117"/>
  <c r="AC116"/>
  <c r="AC117"/>
  <c r="AB116"/>
  <c r="AB117"/>
  <c r="AA116"/>
  <c r="AA117"/>
  <c r="Z116"/>
  <c r="Z117"/>
  <c r="Y116"/>
  <c r="Y117"/>
  <c r="X116"/>
  <c r="X117"/>
  <c r="W116"/>
  <c r="W117"/>
  <c r="V116"/>
  <c r="V117"/>
  <c r="U116"/>
  <c r="U117"/>
  <c r="T116"/>
  <c r="T117"/>
  <c r="S116"/>
  <c r="S117"/>
  <c r="R116"/>
  <c r="R117"/>
  <c r="R45"/>
  <c r="R46"/>
  <c r="R49"/>
  <c r="R51"/>
  <c r="R54"/>
  <c r="R55"/>
  <c r="Q55"/>
  <c r="P55"/>
  <c r="O55"/>
  <c r="N55"/>
  <c r="L55"/>
  <c r="G9"/>
  <c r="V22"/>
  <c r="V24"/>
  <c r="V23"/>
  <c r="V25"/>
  <c r="V29"/>
  <c r="U22"/>
  <c r="U24"/>
  <c r="U23"/>
  <c r="U25"/>
  <c r="M14"/>
  <c r="U29"/>
  <c r="T29"/>
  <c r="Q10"/>
  <c r="P10"/>
  <c r="P74"/>
  <c r="P75"/>
  <c r="P71"/>
  <c r="P77"/>
  <c r="Q74"/>
  <c r="Q75"/>
  <c r="Q71"/>
  <c r="Q77"/>
  <c r="R74"/>
  <c r="R75"/>
  <c r="R71"/>
  <c r="R77"/>
  <c r="S74"/>
  <c r="S76"/>
  <c r="P72"/>
  <c r="Q72"/>
  <c r="R72"/>
  <c r="M9"/>
  <c r="M22"/>
  <c r="N22"/>
  <c r="R22"/>
  <c r="S22"/>
  <c r="U26"/>
  <c r="U27"/>
  <c r="U28"/>
  <c r="N10"/>
  <c r="R24"/>
  <c r="R23"/>
  <c r="R25"/>
  <c r="S24"/>
  <c r="S23"/>
  <c r="S25"/>
  <c r="S26"/>
  <c r="S27"/>
  <c r="S28"/>
  <c r="S29"/>
  <c r="W26"/>
  <c r="W27"/>
  <c r="W28"/>
  <c r="V26"/>
  <c r="V27"/>
  <c r="V28"/>
  <c r="T26"/>
  <c r="T27"/>
  <c r="T28"/>
  <c r="O26"/>
  <c r="P26"/>
  <c r="R26"/>
  <c r="Q26"/>
  <c r="R27"/>
  <c r="R28"/>
  <c r="Q27"/>
  <c r="Q28"/>
  <c r="R29"/>
  <c r="Q29"/>
  <c r="P27"/>
  <c r="P28"/>
  <c r="P29"/>
  <c r="O27"/>
  <c r="O28"/>
  <c r="O29"/>
  <c r="N26"/>
  <c r="N24"/>
  <c r="N23"/>
  <c r="N25"/>
  <c r="N27"/>
  <c r="N28"/>
  <c r="N29"/>
  <c r="L29"/>
  <c r="L22"/>
  <c r="L23"/>
  <c r="G17"/>
  <c r="X26"/>
  <c r="Y26"/>
  <c r="M24"/>
  <c r="M23"/>
  <c r="M25"/>
  <c r="M28"/>
  <c r="X27"/>
  <c r="X28"/>
  <c r="Y27"/>
  <c r="Y28"/>
  <c r="Q61"/>
  <c r="Q63"/>
  <c r="Q62"/>
  <c r="Q64"/>
  <c r="P76"/>
  <c r="Q76"/>
  <c r="R76"/>
  <c r="T61"/>
  <c r="T63"/>
  <c r="T62"/>
  <c r="T64"/>
  <c r="M61"/>
  <c r="T65"/>
  <c r="T66"/>
  <c r="T67"/>
  <c r="R65"/>
  <c r="R66"/>
  <c r="R67"/>
  <c r="T68"/>
  <c r="S68"/>
  <c r="R68"/>
  <c r="Q65"/>
  <c r="P65"/>
  <c r="P66"/>
  <c r="P67"/>
  <c r="O65"/>
  <c r="N65"/>
  <c r="N66"/>
  <c r="N67"/>
  <c r="O66"/>
  <c r="O67"/>
  <c r="Q66"/>
  <c r="Q67"/>
  <c r="Q68"/>
  <c r="P68"/>
  <c r="O68"/>
  <c r="N68"/>
  <c r="L68"/>
  <c r="Y65"/>
  <c r="X65"/>
  <c r="W65"/>
  <c r="V65"/>
  <c r="U65"/>
  <c r="S65"/>
  <c r="U66"/>
  <c r="U67"/>
  <c r="V66"/>
  <c r="V67"/>
  <c r="W66"/>
  <c r="W67"/>
  <c r="X66"/>
  <c r="X67"/>
  <c r="Y66"/>
  <c r="Y67"/>
  <c r="L61"/>
  <c r="L62"/>
  <c r="M63"/>
  <c r="M62"/>
  <c r="M64"/>
  <c r="M67"/>
  <c r="S66"/>
  <c r="S67"/>
  <c r="G11"/>
  <c r="S71"/>
  <c r="S75"/>
  <c r="S77"/>
  <c r="M74"/>
  <c r="W78"/>
  <c r="X78"/>
  <c r="Y78"/>
  <c r="Z78"/>
  <c r="AA78"/>
  <c r="AB78"/>
  <c r="AC78"/>
  <c r="AD78"/>
  <c r="X79"/>
  <c r="X80"/>
  <c r="Y79"/>
  <c r="Y80"/>
  <c r="Z79"/>
  <c r="Z80"/>
  <c r="AA79"/>
  <c r="AA80"/>
  <c r="AB79"/>
  <c r="AB80"/>
  <c r="AC79"/>
  <c r="AC80"/>
  <c r="AD79"/>
  <c r="AD80"/>
  <c r="V78"/>
  <c r="S78"/>
  <c r="R78"/>
  <c r="N78"/>
  <c r="M76"/>
  <c r="M75"/>
  <c r="M77"/>
  <c r="M80"/>
  <c r="L74"/>
  <c r="L75"/>
  <c r="P78"/>
  <c r="O78"/>
  <c r="U78"/>
  <c r="T78"/>
  <c r="Q78"/>
  <c r="R79"/>
  <c r="R80"/>
  <c r="V79"/>
  <c r="V80"/>
  <c r="W79"/>
  <c r="W80"/>
  <c r="S81"/>
  <c r="R81"/>
  <c r="Q81"/>
  <c r="U79"/>
  <c r="U80"/>
  <c r="T79"/>
  <c r="T80"/>
  <c r="Q79"/>
  <c r="Q80"/>
  <c r="O79"/>
  <c r="O80"/>
  <c r="N79"/>
  <c r="N80"/>
  <c r="P79"/>
  <c r="P80"/>
  <c r="P81"/>
  <c r="O81"/>
  <c r="N81"/>
  <c r="L81"/>
  <c r="G12"/>
  <c r="S79"/>
  <c r="S80"/>
  <c r="M17"/>
  <c r="G16"/>
  <c r="N17"/>
  <c r="G18"/>
  <c r="L10"/>
  <c r="G7"/>
  <c r="N6"/>
  <c r="M6"/>
  <c r="G6"/>
  <c r="B5"/>
  <c r="H198" i="1"/>
  <c r="D14"/>
  <c r="H10"/>
  <c r="D13"/>
  <c r="D39"/>
  <c r="M39"/>
  <c r="E39"/>
  <c r="W39"/>
  <c r="F39"/>
  <c r="D48"/>
  <c r="D49"/>
  <c r="AP79"/>
  <c r="AR79"/>
  <c r="AR82"/>
  <c r="AR83"/>
  <c r="AR81"/>
  <c r="AP83"/>
  <c r="AP82"/>
  <c r="AP81"/>
  <c r="AP80"/>
  <c r="AP78"/>
  <c r="AP77"/>
  <c r="AP76"/>
  <c r="AP75"/>
  <c r="AP73"/>
  <c r="G75"/>
  <c r="H75"/>
  <c r="AO75"/>
  <c r="AR78"/>
  <c r="AR77"/>
  <c r="AR76"/>
  <c r="AR75"/>
  <c r="AT83"/>
  <c r="Y83"/>
  <c r="M83"/>
  <c r="G83"/>
  <c r="Z83"/>
  <c r="H83"/>
  <c r="AO83"/>
  <c r="G74"/>
  <c r="B74"/>
  <c r="H74"/>
  <c r="I74"/>
  <c r="J74"/>
  <c r="J75"/>
  <c r="AB83"/>
  <c r="J83"/>
  <c r="Y82"/>
  <c r="M82"/>
  <c r="G82"/>
  <c r="AB82"/>
  <c r="J82"/>
  <c r="J10"/>
  <c r="G39"/>
  <c r="D31"/>
  <c r="N31"/>
  <c r="D32"/>
  <c r="N32"/>
  <c r="D34"/>
  <c r="B34"/>
  <c r="G88"/>
  <c r="B88"/>
  <c r="D89"/>
  <c r="M89"/>
  <c r="G89"/>
  <c r="B89"/>
  <c r="G43"/>
  <c r="AC83"/>
  <c r="L83"/>
  <c r="AC82"/>
  <c r="L82"/>
  <c r="M66"/>
  <c r="W66"/>
  <c r="G66"/>
  <c r="AC66"/>
  <c r="L66"/>
  <c r="M81"/>
  <c r="Y81"/>
  <c r="G81"/>
  <c r="AC81"/>
  <c r="L81"/>
  <c r="D178"/>
  <c r="D40"/>
  <c r="M40"/>
  <c r="E40"/>
  <c r="W40"/>
  <c r="F40"/>
  <c r="M41"/>
  <c r="E41"/>
  <c r="W41"/>
  <c r="F41"/>
  <c r="E168"/>
  <c r="E169"/>
  <c r="G2"/>
  <c r="E170"/>
  <c r="D167"/>
  <c r="D185"/>
  <c r="D186"/>
  <c r="E177"/>
  <c r="E175"/>
  <c r="A8"/>
  <c r="AB70"/>
  <c r="D73"/>
  <c r="G73"/>
  <c r="F73"/>
  <c r="G68"/>
  <c r="H68"/>
  <c r="G69"/>
  <c r="H69"/>
  <c r="AR73"/>
  <c r="AP74"/>
  <c r="AR74"/>
  <c r="AO74"/>
  <c r="M77"/>
  <c r="D181"/>
  <c r="D80"/>
  <c r="M80"/>
  <c r="G80"/>
  <c r="H80"/>
  <c r="AO80"/>
  <c r="Z81"/>
  <c r="H81"/>
  <c r="AO81"/>
  <c r="Z82"/>
  <c r="H82"/>
  <c r="AO82"/>
  <c r="AT82"/>
  <c r="AT81"/>
  <c r="AH55"/>
  <c r="A55"/>
  <c r="AG56"/>
  <c r="AG55"/>
  <c r="A56"/>
  <c r="AC56"/>
  <c r="AD56"/>
  <c r="G56"/>
  <c r="AC55"/>
  <c r="AD55"/>
  <c r="G55"/>
  <c r="G71"/>
  <c r="AB71"/>
  <c r="J71"/>
  <c r="AB81"/>
  <c r="J81"/>
  <c r="Y91"/>
  <c r="M91"/>
  <c r="G91"/>
  <c r="AB91"/>
  <c r="J91"/>
  <c r="G62"/>
  <c r="M62"/>
  <c r="W62"/>
  <c r="F62"/>
  <c r="AA62"/>
  <c r="M61"/>
  <c r="W61"/>
  <c r="F61"/>
  <c r="AA61"/>
  <c r="J61"/>
  <c r="J62"/>
  <c r="AC39"/>
  <c r="Y39"/>
  <c r="AA39"/>
  <c r="AF39"/>
  <c r="AR39"/>
  <c r="X39"/>
  <c r="AD39"/>
  <c r="G40"/>
  <c r="X40"/>
  <c r="AC40"/>
  <c r="Y40"/>
  <c r="AA40"/>
  <c r="AD40"/>
  <c r="AF40"/>
  <c r="AR40"/>
  <c r="G41"/>
  <c r="D95"/>
  <c r="G95"/>
  <c r="W95"/>
  <c r="D53"/>
  <c r="F53"/>
  <c r="M18"/>
  <c r="W18"/>
  <c r="F18"/>
  <c r="Z18"/>
  <c r="J18"/>
  <c r="M19"/>
  <c r="W19"/>
  <c r="F19"/>
  <c r="Z19"/>
  <c r="J19"/>
  <c r="M20"/>
  <c r="W20"/>
  <c r="F20"/>
  <c r="Z20"/>
  <c r="J20"/>
  <c r="F109"/>
  <c r="M109"/>
  <c r="W109"/>
  <c r="AZ109"/>
  <c r="F116"/>
  <c r="M116"/>
  <c r="BB116"/>
  <c r="AW109"/>
  <c r="X109"/>
  <c r="Y109"/>
  <c r="AQ109"/>
  <c r="AO109"/>
  <c r="P109"/>
  <c r="G109"/>
  <c r="AB109"/>
  <c r="J109"/>
  <c r="F110"/>
  <c r="M110"/>
  <c r="W110"/>
  <c r="AZ110"/>
  <c r="F117"/>
  <c r="M117"/>
  <c r="BB117"/>
  <c r="AW110"/>
  <c r="X110"/>
  <c r="Y110"/>
  <c r="AQ110"/>
  <c r="AO110"/>
  <c r="P110"/>
  <c r="G110"/>
  <c r="AB110"/>
  <c r="J110"/>
  <c r="F111"/>
  <c r="M111"/>
  <c r="W111"/>
  <c r="AZ111"/>
  <c r="G111"/>
  <c r="J111"/>
  <c r="D112"/>
  <c r="G112"/>
  <c r="X112"/>
  <c r="AB112"/>
  <c r="M112"/>
  <c r="Y112"/>
  <c r="AQ112"/>
  <c r="AO112"/>
  <c r="P112"/>
  <c r="J112"/>
  <c r="D113"/>
  <c r="G113"/>
  <c r="X113"/>
  <c r="AB113"/>
  <c r="M113"/>
  <c r="Y113"/>
  <c r="AQ113"/>
  <c r="AO113"/>
  <c r="P113"/>
  <c r="J113"/>
  <c r="D114"/>
  <c r="G114"/>
  <c r="X114"/>
  <c r="AB114"/>
  <c r="M114"/>
  <c r="Y114"/>
  <c r="AQ114"/>
  <c r="AO114"/>
  <c r="P114"/>
  <c r="J114"/>
  <c r="W116"/>
  <c r="AW116"/>
  <c r="X116"/>
  <c r="Y116"/>
  <c r="AQ116"/>
  <c r="AO116"/>
  <c r="P116"/>
  <c r="G116"/>
  <c r="AB116"/>
  <c r="J116"/>
  <c r="W117"/>
  <c r="AW117"/>
  <c r="X117"/>
  <c r="Y117"/>
  <c r="AQ117"/>
  <c r="AO117"/>
  <c r="P117"/>
  <c r="G117"/>
  <c r="AB117"/>
  <c r="J117"/>
  <c r="E42"/>
  <c r="M42"/>
  <c r="W42"/>
  <c r="X42"/>
  <c r="AC42"/>
  <c r="Z42"/>
  <c r="AA42"/>
  <c r="AF42"/>
  <c r="AR42"/>
  <c r="AD42"/>
  <c r="E173"/>
  <c r="A166"/>
  <c r="G103"/>
  <c r="X103"/>
  <c r="Z103"/>
  <c r="Y103"/>
  <c r="M103"/>
  <c r="F103"/>
  <c r="AQ103"/>
  <c r="AR103"/>
  <c r="O103"/>
  <c r="AO103"/>
  <c r="H103"/>
  <c r="L103"/>
  <c r="G104"/>
  <c r="X104"/>
  <c r="Z104"/>
  <c r="Y104"/>
  <c r="M104"/>
  <c r="F104"/>
  <c r="AQ104"/>
  <c r="AR104"/>
  <c r="AO104"/>
  <c r="O104"/>
  <c r="H104"/>
  <c r="L104"/>
  <c r="G106"/>
  <c r="X106"/>
  <c r="Z106"/>
  <c r="Y106"/>
  <c r="M106"/>
  <c r="F106"/>
  <c r="AQ106"/>
  <c r="AR106"/>
  <c r="O106"/>
  <c r="AO106"/>
  <c r="H106"/>
  <c r="L106"/>
  <c r="G107"/>
  <c r="X107"/>
  <c r="Z107"/>
  <c r="Y107"/>
  <c r="M107"/>
  <c r="F107"/>
  <c r="AQ107"/>
  <c r="AR107"/>
  <c r="AO107"/>
  <c r="O107"/>
  <c r="H107"/>
  <c r="L107"/>
  <c r="BB109"/>
  <c r="BD109"/>
  <c r="AX109"/>
  <c r="AR109"/>
  <c r="O109"/>
  <c r="H109"/>
  <c r="L109"/>
  <c r="BB110"/>
  <c r="BD110"/>
  <c r="AX110"/>
  <c r="AR110"/>
  <c r="O110"/>
  <c r="H110"/>
  <c r="L110"/>
  <c r="BB111"/>
  <c r="BD111"/>
  <c r="AX111"/>
  <c r="H111"/>
  <c r="L111"/>
  <c r="AD133"/>
  <c r="AD134"/>
  <c r="AD135"/>
  <c r="AD136"/>
  <c r="AP72"/>
  <c r="AP71"/>
  <c r="X62"/>
  <c r="B62"/>
  <c r="AJ62"/>
  <c r="M63"/>
  <c r="X63"/>
  <c r="B63"/>
  <c r="AJ63"/>
  <c r="M64"/>
  <c r="W64"/>
  <c r="F64"/>
  <c r="X64"/>
  <c r="B64"/>
  <c r="AJ64"/>
  <c r="M65"/>
  <c r="W65"/>
  <c r="F65"/>
  <c r="X65"/>
  <c r="B65"/>
  <c r="AJ65"/>
  <c r="AJ66"/>
  <c r="X61"/>
  <c r="B61"/>
  <c r="AJ61"/>
  <c r="AA55"/>
  <c r="AB55"/>
  <c r="H55"/>
  <c r="I55"/>
  <c r="AR55"/>
  <c r="AA56"/>
  <c r="AB56"/>
  <c r="H56"/>
  <c r="I56"/>
  <c r="AR56"/>
  <c r="M57"/>
  <c r="G57"/>
  <c r="I57"/>
  <c r="M146"/>
  <c r="X146"/>
  <c r="D146"/>
  <c r="F146"/>
  <c r="Z146"/>
  <c r="B146"/>
  <c r="D147"/>
  <c r="M147"/>
  <c r="X147"/>
  <c r="F147"/>
  <c r="Z147"/>
  <c r="B147"/>
  <c r="M148"/>
  <c r="X148"/>
  <c r="G115"/>
  <c r="G97"/>
  <c r="G98"/>
  <c r="G100"/>
  <c r="G101"/>
  <c r="G102"/>
  <c r="D148"/>
  <c r="F148"/>
  <c r="Z148"/>
  <c r="B148"/>
  <c r="M149"/>
  <c r="X149"/>
  <c r="D149"/>
  <c r="F149"/>
  <c r="Z149"/>
  <c r="B149"/>
  <c r="M150"/>
  <c r="X150"/>
  <c r="D150"/>
  <c r="F150"/>
  <c r="Z150"/>
  <c r="B150"/>
  <c r="X97"/>
  <c r="AG97"/>
  <c r="AK97"/>
  <c r="X98"/>
  <c r="AG98"/>
  <c r="AK98"/>
  <c r="X100"/>
  <c r="AG100"/>
  <c r="AK100"/>
  <c r="X101"/>
  <c r="AG101"/>
  <c r="AK101"/>
  <c r="AG103"/>
  <c r="AK103"/>
  <c r="AG104"/>
  <c r="AK104"/>
  <c r="AG106"/>
  <c r="AK106"/>
  <c r="AG107"/>
  <c r="AK107"/>
  <c r="AG109"/>
  <c r="AK109"/>
  <c r="AG110"/>
  <c r="AK110"/>
  <c r="AG112"/>
  <c r="AK112"/>
  <c r="AG113"/>
  <c r="AK113"/>
  <c r="AG114"/>
  <c r="AK114"/>
  <c r="AG116"/>
  <c r="AK116"/>
  <c r="AG117"/>
  <c r="AK117"/>
  <c r="AK122"/>
  <c r="D151"/>
  <c r="M151"/>
  <c r="X151"/>
  <c r="F151"/>
  <c r="Z151"/>
  <c r="B151"/>
  <c r="M152"/>
  <c r="X152"/>
  <c r="D152"/>
  <c r="F152"/>
  <c r="Z152"/>
  <c r="B152"/>
  <c r="M153"/>
  <c r="X153"/>
  <c r="D153"/>
  <c r="F153"/>
  <c r="Z153"/>
  <c r="B153"/>
  <c r="M154"/>
  <c r="X154"/>
  <c r="D154"/>
  <c r="F154"/>
  <c r="Z154"/>
  <c r="B154"/>
  <c r="M155"/>
  <c r="X155"/>
  <c r="D155"/>
  <c r="F155"/>
  <c r="Z155"/>
  <c r="B155"/>
  <c r="M156"/>
  <c r="X156"/>
  <c r="D156"/>
  <c r="F156"/>
  <c r="Z156"/>
  <c r="B156"/>
  <c r="M157"/>
  <c r="X157"/>
  <c r="D157"/>
  <c r="F157"/>
  <c r="Z157"/>
  <c r="B157"/>
  <c r="M158"/>
  <c r="X158"/>
  <c r="D158"/>
  <c r="F158"/>
  <c r="Z158"/>
  <c r="B158"/>
  <c r="M159"/>
  <c r="X159"/>
  <c r="B4"/>
  <c r="D159"/>
  <c r="F159"/>
  <c r="Z159"/>
  <c r="B159"/>
  <c r="M160"/>
  <c r="X160"/>
  <c r="D22"/>
  <c r="G22"/>
  <c r="D160"/>
  <c r="F160"/>
  <c r="Z160"/>
  <c r="B160"/>
  <c r="B145"/>
  <c r="D58"/>
  <c r="M58"/>
  <c r="W58"/>
  <c r="X58"/>
  <c r="AE58"/>
  <c r="AF58"/>
  <c r="F58"/>
  <c r="D59"/>
  <c r="G59"/>
  <c r="AU59"/>
  <c r="AU58"/>
  <c r="AT57"/>
  <c r="AS56"/>
  <c r="AS55"/>
  <c r="AB64"/>
  <c r="AG64"/>
  <c r="AB61"/>
  <c r="AE61"/>
  <c r="AB65"/>
  <c r="AF65"/>
  <c r="N65"/>
  <c r="M6"/>
  <c r="N61"/>
  <c r="Y61"/>
  <c r="H61"/>
  <c r="Y62"/>
  <c r="H62"/>
  <c r="M7"/>
  <c r="V55"/>
  <c r="V56"/>
  <c r="V57"/>
  <c r="U54"/>
  <c r="U55"/>
  <c r="U56"/>
  <c r="AE55"/>
  <c r="AE56"/>
  <c r="U57"/>
  <c r="AA58"/>
  <c r="AB58"/>
  <c r="Y58"/>
  <c r="Y56"/>
  <c r="Y55"/>
  <c r="AN56"/>
  <c r="AN55"/>
  <c r="AO56"/>
  <c r="AO55"/>
  <c r="AM56"/>
  <c r="AL56"/>
  <c r="AK56"/>
  <c r="AJ56"/>
  <c r="AI56"/>
  <c r="AH56"/>
  <c r="AM55"/>
  <c r="AL55"/>
  <c r="AK55"/>
  <c r="AJ55"/>
  <c r="AI55"/>
  <c r="W13"/>
  <c r="B13"/>
  <c r="W14"/>
  <c r="B14"/>
  <c r="M15"/>
  <c r="X15"/>
  <c r="AI15"/>
  <c r="B15"/>
  <c r="AC15"/>
  <c r="AB15"/>
  <c r="AA15"/>
  <c r="M95"/>
  <c r="M17"/>
  <c r="AA64"/>
  <c r="J64"/>
  <c r="AA65"/>
  <c r="J65"/>
  <c r="AA66"/>
  <c r="J66"/>
  <c r="J80"/>
  <c r="M97"/>
  <c r="Y97"/>
  <c r="F97"/>
  <c r="AQ97"/>
  <c r="AR97"/>
  <c r="O97"/>
  <c r="AO97"/>
  <c r="Z97"/>
  <c r="H97"/>
  <c r="P97"/>
  <c r="AB97"/>
  <c r="J97"/>
  <c r="M98"/>
  <c r="Y98"/>
  <c r="F98"/>
  <c r="AQ98"/>
  <c r="AR98"/>
  <c r="AO98"/>
  <c r="O98"/>
  <c r="Z98"/>
  <c r="H98"/>
  <c r="P98"/>
  <c r="AB98"/>
  <c r="J98"/>
  <c r="M100"/>
  <c r="Y100"/>
  <c r="F100"/>
  <c r="AQ100"/>
  <c r="AR100"/>
  <c r="O100"/>
  <c r="AO100"/>
  <c r="Z100"/>
  <c r="H100"/>
  <c r="P100"/>
  <c r="AB100"/>
  <c r="J100"/>
  <c r="M101"/>
  <c r="Y101"/>
  <c r="F101"/>
  <c r="AQ101"/>
  <c r="AR101"/>
  <c r="AO101"/>
  <c r="O101"/>
  <c r="Z101"/>
  <c r="H101"/>
  <c r="P101"/>
  <c r="AB101"/>
  <c r="J101"/>
  <c r="P103"/>
  <c r="AB103"/>
  <c r="J103"/>
  <c r="P104"/>
  <c r="AB104"/>
  <c r="J104"/>
  <c r="P106"/>
  <c r="AB106"/>
  <c r="J106"/>
  <c r="P107"/>
  <c r="AB107"/>
  <c r="J107"/>
  <c r="M127"/>
  <c r="AB127"/>
  <c r="G127"/>
  <c r="J127"/>
  <c r="X41"/>
  <c r="Y41"/>
  <c r="AC41"/>
  <c r="AA41"/>
  <c r="AD41"/>
  <c r="AF41"/>
  <c r="AR41"/>
  <c r="L97"/>
  <c r="L98"/>
  <c r="L100"/>
  <c r="L101"/>
  <c r="AZ39"/>
  <c r="BH39"/>
  <c r="AJ91"/>
  <c r="AI91"/>
  <c r="AA91"/>
  <c r="AG91"/>
  <c r="AE91"/>
  <c r="AC91"/>
  <c r="Z91"/>
  <c r="H91"/>
  <c r="V91"/>
  <c r="I91"/>
  <c r="U91"/>
  <c r="L91"/>
  <c r="D70"/>
  <c r="D187"/>
  <c r="I186"/>
  <c r="G72"/>
  <c r="J72"/>
  <c r="I185"/>
  <c r="BG96"/>
  <c r="BG97"/>
  <c r="BG98"/>
  <c r="BG99"/>
  <c r="BG100"/>
  <c r="BG101"/>
  <c r="BG102"/>
  <c r="BG103"/>
  <c r="BG104"/>
  <c r="BG105"/>
  <c r="BG106"/>
  <c r="BG107"/>
  <c r="BG108"/>
  <c r="BG109"/>
  <c r="BG110"/>
  <c r="BG111"/>
  <c r="BG112"/>
  <c r="BG113"/>
  <c r="BG114"/>
  <c r="BG115"/>
  <c r="BG116"/>
  <c r="BG117"/>
  <c r="W17"/>
  <c r="Z17"/>
  <c r="AZ40"/>
  <c r="BH40"/>
  <c r="G129"/>
  <c r="J129"/>
  <c r="G130"/>
  <c r="AB130"/>
  <c r="J130"/>
  <c r="G131"/>
  <c r="AB131"/>
  <c r="J131"/>
  <c r="Z133"/>
  <c r="AB133"/>
  <c r="Z134"/>
  <c r="AB134"/>
  <c r="G137"/>
  <c r="J137"/>
  <c r="AZ42"/>
  <c r="BH42"/>
  <c r="AZ41"/>
  <c r="BH41"/>
  <c r="L99"/>
  <c r="L116"/>
  <c r="L117"/>
  <c r="L129"/>
  <c r="L130"/>
  <c r="L131"/>
  <c r="AC133"/>
  <c r="AE133"/>
  <c r="AC134"/>
  <c r="AE134"/>
  <c r="AL71"/>
  <c r="AI71"/>
  <c r="M71"/>
  <c r="AA71"/>
  <c r="I71"/>
  <c r="Z71"/>
  <c r="H71"/>
  <c r="AJ71"/>
  <c r="AG71"/>
  <c r="AE71"/>
  <c r="AC71"/>
  <c r="Y71"/>
  <c r="N72"/>
  <c r="I72"/>
  <c r="H72"/>
  <c r="V72"/>
  <c r="U72"/>
  <c r="V75"/>
  <c r="I75"/>
  <c r="U75"/>
  <c r="N68"/>
  <c r="Y66"/>
  <c r="H66"/>
  <c r="J2"/>
  <c r="F2"/>
  <c r="V5"/>
  <c r="V9"/>
  <c r="G85"/>
  <c r="B85"/>
  <c r="H85"/>
  <c r="V85"/>
  <c r="I85"/>
  <c r="U85"/>
  <c r="V84"/>
  <c r="G48"/>
  <c r="F48"/>
  <c r="G49"/>
  <c r="F49"/>
  <c r="D50"/>
  <c r="G50"/>
  <c r="F50"/>
  <c r="M47"/>
  <c r="N47"/>
  <c r="Z15"/>
  <c r="AJ15"/>
  <c r="AK15"/>
  <c r="AL15"/>
  <c r="W15"/>
  <c r="W12"/>
  <c r="D29"/>
  <c r="G29"/>
  <c r="H29"/>
  <c r="D28"/>
  <c r="G28"/>
  <c r="H28"/>
  <c r="AA159"/>
  <c r="AH97"/>
  <c r="AL97"/>
  <c r="AH98"/>
  <c r="AL98"/>
  <c r="AH100"/>
  <c r="AL100"/>
  <c r="AH101"/>
  <c r="AL101"/>
  <c r="AH103"/>
  <c r="AL103"/>
  <c r="AH104"/>
  <c r="AL104"/>
  <c r="AH106"/>
  <c r="AL106"/>
  <c r="AH107"/>
  <c r="AL107"/>
  <c r="AH109"/>
  <c r="AL109"/>
  <c r="AH110"/>
  <c r="AL110"/>
  <c r="AH112"/>
  <c r="AL112"/>
  <c r="AH113"/>
  <c r="AL113"/>
  <c r="AH114"/>
  <c r="AL114"/>
  <c r="AH116"/>
  <c r="AL116"/>
  <c r="AH117"/>
  <c r="AL117"/>
  <c r="AL122"/>
  <c r="B122"/>
  <c r="D16"/>
  <c r="V81"/>
  <c r="V82"/>
  <c r="V83"/>
  <c r="X17"/>
  <c r="X18"/>
  <c r="H18"/>
  <c r="X19"/>
  <c r="H19"/>
  <c r="X20"/>
  <c r="H20"/>
  <c r="D46"/>
  <c r="G46"/>
  <c r="F46"/>
  <c r="D51"/>
  <c r="F51"/>
  <c r="G51"/>
  <c r="Y63"/>
  <c r="G63"/>
  <c r="H63"/>
  <c r="Y64"/>
  <c r="G64"/>
  <c r="H64"/>
  <c r="Z65"/>
  <c r="G65"/>
  <c r="Y65"/>
  <c r="H65"/>
  <c r="H112"/>
  <c r="H113"/>
  <c r="H114"/>
  <c r="BD116"/>
  <c r="AX116"/>
  <c r="AR116"/>
  <c r="O116"/>
  <c r="H116"/>
  <c r="BD117"/>
  <c r="AX117"/>
  <c r="AR117"/>
  <c r="O117"/>
  <c r="H117"/>
  <c r="X119"/>
  <c r="D119"/>
  <c r="G119"/>
  <c r="Z119"/>
  <c r="Y119"/>
  <c r="M119"/>
  <c r="AQ119"/>
  <c r="AR119"/>
  <c r="AO119"/>
  <c r="H119"/>
  <c r="X120"/>
  <c r="D120"/>
  <c r="G120"/>
  <c r="Z120"/>
  <c r="Y120"/>
  <c r="M120"/>
  <c r="AQ120"/>
  <c r="AR120"/>
  <c r="AO120"/>
  <c r="H120"/>
  <c r="AI97"/>
  <c r="AF97"/>
  <c r="AM97"/>
  <c r="AF98"/>
  <c r="AI100"/>
  <c r="AF100"/>
  <c r="AM100"/>
  <c r="AF101"/>
  <c r="AI103"/>
  <c r="AF103"/>
  <c r="AM103"/>
  <c r="AF104"/>
  <c r="AF106"/>
  <c r="AF107"/>
  <c r="AI109"/>
  <c r="AF109"/>
  <c r="AM109"/>
  <c r="AF110"/>
  <c r="AI112"/>
  <c r="AF112"/>
  <c r="AM112"/>
  <c r="AF113"/>
  <c r="AF114"/>
  <c r="AI116"/>
  <c r="AF116"/>
  <c r="AM116"/>
  <c r="AF117"/>
  <c r="Z127"/>
  <c r="Y127"/>
  <c r="AQ127"/>
  <c r="H127"/>
  <c r="Z130"/>
  <c r="Y130"/>
  <c r="M130"/>
  <c r="AQ130"/>
  <c r="H130"/>
  <c r="Z131"/>
  <c r="Y131"/>
  <c r="M131"/>
  <c r="AQ131"/>
  <c r="H131"/>
  <c r="V18"/>
  <c r="V19"/>
  <c r="V20"/>
  <c r="V61"/>
  <c r="V62"/>
  <c r="V63"/>
  <c r="V64"/>
  <c r="V65"/>
  <c r="V66"/>
  <c r="V97"/>
  <c r="V98"/>
  <c r="V100"/>
  <c r="V101"/>
  <c r="V103"/>
  <c r="V104"/>
  <c r="V106"/>
  <c r="V107"/>
  <c r="V109"/>
  <c r="V110"/>
  <c r="V111"/>
  <c r="V112"/>
  <c r="V113"/>
  <c r="V114"/>
  <c r="V116"/>
  <c r="V117"/>
  <c r="V127"/>
  <c r="V130"/>
  <c r="V131"/>
  <c r="G92"/>
  <c r="I92"/>
  <c r="B110"/>
  <c r="B109"/>
  <c r="AP109"/>
  <c r="M21"/>
  <c r="W21"/>
  <c r="F21"/>
  <c r="AI82"/>
  <c r="AA82"/>
  <c r="AI83"/>
  <c r="AA83"/>
  <c r="AI81"/>
  <c r="AA81"/>
  <c r="AJ82"/>
  <c r="AJ83"/>
  <c r="AJ81"/>
  <c r="AG81"/>
  <c r="G139"/>
  <c r="I139"/>
  <c r="G140"/>
  <c r="I140"/>
  <c r="E140"/>
  <c r="F140"/>
  <c r="H140"/>
  <c r="E139"/>
  <c r="F139"/>
  <c r="H139"/>
  <c r="Y17"/>
  <c r="Y18"/>
  <c r="I18"/>
  <c r="Y19"/>
  <c r="I19"/>
  <c r="Y20"/>
  <c r="I20"/>
  <c r="Y21"/>
  <c r="I21"/>
  <c r="H22"/>
  <c r="I22"/>
  <c r="V22"/>
  <c r="D26"/>
  <c r="F26"/>
  <c r="U10"/>
  <c r="U18"/>
  <c r="U19"/>
  <c r="U20"/>
  <c r="U21"/>
  <c r="U22"/>
  <c r="AE39"/>
  <c r="AE40"/>
  <c r="AE41"/>
  <c r="Y42"/>
  <c r="AE42"/>
  <c r="M59"/>
  <c r="W59"/>
  <c r="AE59"/>
  <c r="AA59"/>
  <c r="AB59"/>
  <c r="Z61"/>
  <c r="I61"/>
  <c r="U61"/>
  <c r="Z62"/>
  <c r="I62"/>
  <c r="U62"/>
  <c r="Z63"/>
  <c r="I63"/>
  <c r="U63"/>
  <c r="Z64"/>
  <c r="I64"/>
  <c r="U64"/>
  <c r="I65"/>
  <c r="U65"/>
  <c r="AE81"/>
  <c r="I81"/>
  <c r="U81"/>
  <c r="AE82"/>
  <c r="I82"/>
  <c r="U82"/>
  <c r="AE83"/>
  <c r="I83"/>
  <c r="U83"/>
  <c r="H89"/>
  <c r="I89"/>
  <c r="U89"/>
  <c r="AA97"/>
  <c r="AS97"/>
  <c r="I97"/>
  <c r="U97"/>
  <c r="AA98"/>
  <c r="AS98"/>
  <c r="I98"/>
  <c r="U98"/>
  <c r="AA100"/>
  <c r="AS100"/>
  <c r="I100"/>
  <c r="U100"/>
  <c r="AA101"/>
  <c r="AS101"/>
  <c r="I101"/>
  <c r="U101"/>
  <c r="AA103"/>
  <c r="AS103"/>
  <c r="I103"/>
  <c r="U103"/>
  <c r="AA104"/>
  <c r="AS104"/>
  <c r="I104"/>
  <c r="U104"/>
  <c r="AA106"/>
  <c r="AS106"/>
  <c r="I106"/>
  <c r="U106"/>
  <c r="AA107"/>
  <c r="AS107"/>
  <c r="I107"/>
  <c r="U107"/>
  <c r="BE109"/>
  <c r="AY109"/>
  <c r="AA109"/>
  <c r="AS109"/>
  <c r="I109"/>
  <c r="U109"/>
  <c r="BE110"/>
  <c r="AY110"/>
  <c r="AA110"/>
  <c r="AS110"/>
  <c r="I110"/>
  <c r="U110"/>
  <c r="BE111"/>
  <c r="AY111"/>
  <c r="I111"/>
  <c r="U111"/>
  <c r="AA112"/>
  <c r="AS112"/>
  <c r="I112"/>
  <c r="U112"/>
  <c r="AA113"/>
  <c r="AS113"/>
  <c r="I113"/>
  <c r="U113"/>
  <c r="AA114"/>
  <c r="AS114"/>
  <c r="I114"/>
  <c r="U114"/>
  <c r="BE116"/>
  <c r="AY116"/>
  <c r="AA116"/>
  <c r="AS116"/>
  <c r="I116"/>
  <c r="U116"/>
  <c r="BE117"/>
  <c r="AY117"/>
  <c r="AA117"/>
  <c r="AS117"/>
  <c r="I117"/>
  <c r="U117"/>
  <c r="AA127"/>
  <c r="AS127"/>
  <c r="I127"/>
  <c r="U127"/>
  <c r="AA130"/>
  <c r="AS130"/>
  <c r="I130"/>
  <c r="U130"/>
  <c r="AA131"/>
  <c r="AS131"/>
  <c r="I131"/>
  <c r="U131"/>
  <c r="AA133"/>
  <c r="AA134"/>
  <c r="Z66"/>
  <c r="I66"/>
  <c r="F119"/>
  <c r="AA119"/>
  <c r="AS119"/>
  <c r="I119"/>
  <c r="F120"/>
  <c r="AA120"/>
  <c r="AS120"/>
  <c r="I120"/>
  <c r="AA146"/>
  <c r="G146"/>
  <c r="I146"/>
  <c r="AA148"/>
  <c r="G148"/>
  <c r="I148"/>
  <c r="AA149"/>
  <c r="G149"/>
  <c r="I149"/>
  <c r="AA150"/>
  <c r="G150"/>
  <c r="I150"/>
  <c r="AA151"/>
  <c r="G151"/>
  <c r="I151"/>
  <c r="AA152"/>
  <c r="G152"/>
  <c r="I152"/>
  <c r="AA153"/>
  <c r="G153"/>
  <c r="I153"/>
  <c r="AA154"/>
  <c r="G154"/>
  <c r="I154"/>
  <c r="AA155"/>
  <c r="G155"/>
  <c r="I155"/>
  <c r="AA156"/>
  <c r="G156"/>
  <c r="I156"/>
  <c r="AA157"/>
  <c r="G157"/>
  <c r="I157"/>
  <c r="AA158"/>
  <c r="G158"/>
  <c r="I158"/>
  <c r="G159"/>
  <c r="I159"/>
  <c r="AA160"/>
  <c r="G160"/>
  <c r="I160"/>
  <c r="AB40"/>
  <c r="N40"/>
  <c r="N41"/>
  <c r="AB42"/>
  <c r="N42"/>
  <c r="AB39"/>
  <c r="N39"/>
  <c r="B117"/>
  <c r="B116"/>
  <c r="B114"/>
  <c r="B113"/>
  <c r="B112"/>
  <c r="AP110"/>
  <c r="AP107"/>
  <c r="B107"/>
  <c r="AP106"/>
  <c r="B106"/>
  <c r="AP104"/>
  <c r="B104"/>
  <c r="AP103"/>
  <c r="B103"/>
  <c r="AP101"/>
  <c r="B101"/>
  <c r="AP98"/>
  <c r="B98"/>
  <c r="B97"/>
  <c r="AP100"/>
  <c r="B100"/>
  <c r="AP97"/>
  <c r="N69"/>
  <c r="V89"/>
  <c r="V21"/>
  <c r="V23"/>
  <c r="V25"/>
  <c r="V26"/>
  <c r="V27"/>
  <c r="V28"/>
  <c r="V29"/>
  <c r="V30"/>
  <c r="V31"/>
  <c r="V32"/>
  <c r="V33"/>
  <c r="V34"/>
  <c r="V35"/>
  <c r="V36"/>
  <c r="V37"/>
  <c r="V38"/>
  <c r="I88"/>
  <c r="U88"/>
  <c r="U14"/>
  <c r="U23"/>
  <c r="U27"/>
  <c r="U30"/>
  <c r="U31"/>
  <c r="U32"/>
  <c r="U33"/>
  <c r="U34"/>
  <c r="U35"/>
  <c r="U36"/>
  <c r="U37"/>
  <c r="U38"/>
  <c r="W6"/>
  <c r="X6"/>
  <c r="AI58"/>
  <c r="AJ58"/>
  <c r="AI59"/>
  <c r="AJ59"/>
  <c r="K107"/>
  <c r="K106"/>
  <c r="AP120"/>
  <c r="AC120"/>
  <c r="W120"/>
  <c r="B120"/>
  <c r="W119"/>
  <c r="AP119"/>
  <c r="B119"/>
  <c r="AC119"/>
  <c r="M76"/>
  <c r="D93"/>
  <c r="G93"/>
  <c r="H93"/>
  <c r="V93"/>
  <c r="G44"/>
  <c r="H44"/>
  <c r="G90"/>
  <c r="B90"/>
  <c r="H90"/>
  <c r="Z117"/>
  <c r="H129"/>
  <c r="H137"/>
  <c r="V44"/>
  <c r="V45"/>
  <c r="V47"/>
  <c r="V54"/>
  <c r="V60"/>
  <c r="V67"/>
  <c r="V68"/>
  <c r="V69"/>
  <c r="V71"/>
  <c r="V80"/>
  <c r="V86"/>
  <c r="V88"/>
  <c r="V90"/>
  <c r="V92"/>
  <c r="V94"/>
  <c r="V96"/>
  <c r="V99"/>
  <c r="V102"/>
  <c r="V105"/>
  <c r="V108"/>
  <c r="V115"/>
  <c r="V121"/>
  <c r="V123"/>
  <c r="V124"/>
  <c r="V125"/>
  <c r="V126"/>
  <c r="V128"/>
  <c r="V129"/>
  <c r="V132"/>
  <c r="V137"/>
  <c r="V138"/>
  <c r="V142"/>
  <c r="V143"/>
  <c r="V144"/>
  <c r="AB41"/>
  <c r="AG82"/>
  <c r="AG83"/>
  <c r="AW111"/>
  <c r="BC117"/>
  <c r="BC116"/>
  <c r="BC110"/>
  <c r="BC111"/>
  <c r="BC109"/>
  <c r="Y160"/>
  <c r="Y159"/>
  <c r="Y158"/>
  <c r="Y157"/>
  <c r="Y156"/>
  <c r="Y155"/>
  <c r="Y153"/>
  <c r="Y152"/>
  <c r="Y151"/>
  <c r="Y150"/>
  <c r="Y149"/>
  <c r="Y148"/>
  <c r="Y147"/>
  <c r="Y146"/>
  <c r="M143"/>
  <c r="M142"/>
  <c r="AV117"/>
  <c r="AP117"/>
  <c r="AV116"/>
  <c r="AP116"/>
  <c r="AV111"/>
  <c r="B111"/>
  <c r="AV110"/>
  <c r="AV109"/>
  <c r="AE127"/>
  <c r="AD127"/>
  <c r="AC127"/>
  <c r="X127"/>
  <c r="M78"/>
  <c r="M44"/>
  <c r="I44"/>
  <c r="B44"/>
  <c r="M28"/>
  <c r="M29"/>
  <c r="M31"/>
  <c r="M32"/>
  <c r="M8"/>
  <c r="A42"/>
  <c r="AJ110"/>
  <c r="AJ111"/>
  <c r="AJ109"/>
  <c r="I80"/>
  <c r="U80"/>
  <c r="U25"/>
  <c r="U44"/>
  <c r="U45"/>
  <c r="U50"/>
  <c r="U52"/>
  <c r="U60"/>
  <c r="U67"/>
  <c r="I68"/>
  <c r="U68"/>
  <c r="I69"/>
  <c r="U69"/>
  <c r="U71"/>
  <c r="U86"/>
  <c r="U87"/>
  <c r="I90"/>
  <c r="U90"/>
  <c r="U92"/>
  <c r="I93"/>
  <c r="U93"/>
  <c r="U94"/>
  <c r="U96"/>
  <c r="U99"/>
  <c r="U102"/>
  <c r="U105"/>
  <c r="U108"/>
  <c r="U115"/>
  <c r="U121"/>
  <c r="U122"/>
  <c r="U123"/>
  <c r="U124"/>
  <c r="U125"/>
  <c r="U126"/>
  <c r="U128"/>
  <c r="I129"/>
  <c r="U129"/>
  <c r="U132"/>
  <c r="I137"/>
  <c r="U137"/>
  <c r="U138"/>
  <c r="U142"/>
  <c r="U143"/>
  <c r="U144"/>
  <c r="AA19"/>
  <c r="B19"/>
  <c r="AA17"/>
  <c r="AA20"/>
  <c r="B20"/>
  <c r="AA18"/>
  <c r="B18"/>
  <c r="B137"/>
  <c r="Z116"/>
  <c r="I178"/>
  <c r="K10"/>
  <c r="K97"/>
  <c r="K98"/>
  <c r="K100"/>
  <c r="K101"/>
  <c r="K103"/>
  <c r="K104"/>
  <c r="K109"/>
  <c r="K110"/>
  <c r="K111"/>
  <c r="K116"/>
  <c r="K117"/>
  <c r="K127"/>
  <c r="Z110"/>
  <c r="Z109"/>
  <c r="G32"/>
  <c r="G31"/>
  <c r="Y194"/>
  <c r="Z194"/>
  <c r="L194"/>
  <c r="Y195"/>
  <c r="Z195"/>
  <c r="L195"/>
  <c r="Y196"/>
  <c r="Z196"/>
  <c r="L196"/>
  <c r="Y197"/>
  <c r="Z197"/>
  <c r="I169"/>
  <c r="I170"/>
  <c r="I168"/>
  <c r="I181"/>
  <c r="H199"/>
  <c r="AH127"/>
  <c r="AG127"/>
  <c r="AN110"/>
  <c r="AN109"/>
  <c r="W112"/>
  <c r="AN112"/>
  <c r="AN113"/>
  <c r="AN114"/>
  <c r="AN122"/>
  <c r="B125"/>
  <c r="B124"/>
  <c r="W113"/>
  <c r="W114"/>
  <c r="A89"/>
  <c r="AP131"/>
  <c r="B131"/>
  <c r="AP130"/>
  <c r="B130"/>
  <c r="X131"/>
  <c r="X130"/>
  <c r="F113"/>
  <c r="F114"/>
  <c r="F112"/>
  <c r="AP113"/>
  <c r="AP114"/>
  <c r="AP112"/>
  <c r="AU111"/>
  <c r="AR114"/>
  <c r="AE114"/>
  <c r="AD114"/>
  <c r="AC114"/>
  <c r="Z114"/>
  <c r="N114"/>
  <c r="AR113"/>
  <c r="AE113"/>
  <c r="AD113"/>
  <c r="AC113"/>
  <c r="Z113"/>
  <c r="N113"/>
  <c r="AR112"/>
  <c r="AE112"/>
  <c r="AD112"/>
  <c r="AC112"/>
  <c r="Z112"/>
  <c r="N112"/>
  <c r="AU117"/>
  <c r="AU116"/>
  <c r="AU110"/>
  <c r="AU109"/>
  <c r="N92"/>
  <c r="A158"/>
  <c r="A157"/>
  <c r="AR131"/>
  <c r="AD110"/>
  <c r="N110"/>
  <c r="AD109"/>
  <c r="N109"/>
  <c r="AP127"/>
  <c r="B127"/>
  <c r="AR127"/>
  <c r="AR130"/>
  <c r="K8"/>
  <c r="A154"/>
  <c r="A156"/>
  <c r="A152"/>
  <c r="A151"/>
  <c r="A160"/>
  <c r="A159"/>
  <c r="A148"/>
  <c r="A149"/>
  <c r="A150"/>
  <c r="A153"/>
  <c r="A155"/>
  <c r="A146"/>
  <c r="AD116"/>
  <c r="N116"/>
  <c r="AD117"/>
  <c r="N117"/>
  <c r="AC116"/>
  <c r="AE116"/>
  <c r="AC117"/>
  <c r="AE117"/>
  <c r="AC110"/>
  <c r="AE110"/>
  <c r="AD106"/>
  <c r="N106"/>
  <c r="AD103"/>
  <c r="N103"/>
  <c r="AD100"/>
  <c r="N100"/>
  <c r="AD97"/>
  <c r="N97"/>
  <c r="AE109"/>
  <c r="AC109"/>
  <c r="AE107"/>
  <c r="AE106"/>
  <c r="AC106"/>
  <c r="AE104"/>
  <c r="AE103"/>
  <c r="AC103"/>
  <c r="AE101"/>
  <c r="AE100"/>
  <c r="AC100"/>
  <c r="AE98"/>
  <c r="AE97"/>
  <c r="AC97"/>
  <c r="F63"/>
  <c r="G53"/>
  <c r="X21"/>
  <c r="B21"/>
  <c r="X59"/>
  <c r="Y59"/>
  <c r="AA147"/>
  <c r="G147"/>
  <c r="I147"/>
  <c r="I145"/>
  <c r="AF59"/>
  <c r="F59"/>
  <c r="C59"/>
  <c r="AL59"/>
  <c r="AO59"/>
  <c r="AQ59"/>
  <c r="B59"/>
  <c r="AH58"/>
  <c r="AG58"/>
  <c r="Z58"/>
  <c r="Z59"/>
  <c r="AH59"/>
  <c r="AG59"/>
  <c r="AO58"/>
  <c r="AQ58"/>
  <c r="AP59"/>
  <c r="AP58"/>
  <c r="A147"/>
  <c r="AH136"/>
  <c r="E136"/>
  <c r="D136"/>
  <c r="N136"/>
  <c r="AH135"/>
  <c r="E135"/>
  <c r="D135"/>
  <c r="N135"/>
  <c r="D35"/>
  <c r="AX39"/>
  <c r="BC39"/>
  <c r="AT39"/>
  <c r="AI39"/>
  <c r="AJ39"/>
  <c r="BF39"/>
  <c r="BK39"/>
  <c r="AK39"/>
  <c r="BN39"/>
  <c r="AP39"/>
  <c r="B35"/>
  <c r="W47"/>
  <c r="B47"/>
  <c r="D36"/>
  <c r="B36"/>
  <c r="AW39"/>
  <c r="BE39"/>
  <c r="BM39"/>
  <c r="AO39"/>
  <c r="AW40"/>
  <c r="BC40"/>
  <c r="AT40"/>
  <c r="AI40"/>
  <c r="AJ40"/>
  <c r="BE40"/>
  <c r="BK40"/>
  <c r="AK40"/>
  <c r="BM40"/>
  <c r="AO40"/>
  <c r="B37"/>
  <c r="J40"/>
  <c r="Z95"/>
  <c r="Y95"/>
  <c r="AU95"/>
  <c r="AQ95"/>
  <c r="AR95"/>
  <c r="AV95"/>
  <c r="AF95"/>
  <c r="F95"/>
  <c r="H95"/>
  <c r="BG95"/>
  <c r="D17"/>
  <c r="F17"/>
  <c r="J17"/>
  <c r="B50"/>
  <c r="H53"/>
  <c r="J53"/>
  <c r="AB95"/>
  <c r="J95"/>
  <c r="AH133"/>
  <c r="E133"/>
  <c r="D133"/>
  <c r="G133"/>
  <c r="H133"/>
  <c r="J133"/>
  <c r="AH134"/>
  <c r="E134"/>
  <c r="D134"/>
  <c r="G134"/>
  <c r="H134"/>
  <c r="J134"/>
  <c r="AW42"/>
  <c r="BC42"/>
  <c r="AT42"/>
  <c r="AI42"/>
  <c r="AJ42"/>
  <c r="BE42"/>
  <c r="BK42"/>
  <c r="AK42"/>
  <c r="BM42"/>
  <c r="AO42"/>
  <c r="AV42"/>
  <c r="BD42"/>
  <c r="BL42"/>
  <c r="AN42"/>
  <c r="J39"/>
  <c r="J42"/>
  <c r="H42"/>
  <c r="L42"/>
  <c r="H43"/>
  <c r="L43"/>
  <c r="AV39"/>
  <c r="BD39"/>
  <c r="BL39"/>
  <c r="AN39"/>
  <c r="AV40"/>
  <c r="BD40"/>
  <c r="BL40"/>
  <c r="AN40"/>
  <c r="H40"/>
  <c r="L40"/>
  <c r="AV41"/>
  <c r="BC41"/>
  <c r="AT41"/>
  <c r="AI41"/>
  <c r="AJ41"/>
  <c r="BD41"/>
  <c r="BK41"/>
  <c r="AK41"/>
  <c r="BL41"/>
  <c r="AN41"/>
  <c r="H41"/>
  <c r="L41"/>
  <c r="L134"/>
  <c r="G135"/>
  <c r="L135"/>
  <c r="G136"/>
  <c r="L136"/>
  <c r="H39"/>
  <c r="L39"/>
  <c r="E172"/>
  <c r="D171"/>
  <c r="L95"/>
  <c r="D179"/>
  <c r="L133"/>
  <c r="D180"/>
  <c r="E176"/>
  <c r="D174"/>
  <c r="D166"/>
  <c r="D165"/>
  <c r="Z70"/>
  <c r="B70"/>
  <c r="F70"/>
  <c r="G70"/>
  <c r="H70"/>
  <c r="H73"/>
  <c r="AO73"/>
  <c r="AJ133"/>
  <c r="AJ134"/>
  <c r="AK134"/>
  <c r="AJ135"/>
  <c r="AK135"/>
  <c r="AJ136"/>
  <c r="AK136"/>
  <c r="AK133"/>
  <c r="AA76"/>
  <c r="X76"/>
  <c r="AD76"/>
  <c r="D76"/>
  <c r="G76"/>
  <c r="H76"/>
  <c r="AO76"/>
  <c r="D77"/>
  <c r="G77"/>
  <c r="D78"/>
  <c r="G78"/>
  <c r="H77"/>
  <c r="AO77"/>
  <c r="H78"/>
  <c r="AO78"/>
  <c r="B79"/>
  <c r="D79"/>
  <c r="G79"/>
  <c r="H79"/>
  <c r="AO79"/>
  <c r="C58"/>
  <c r="AM58"/>
  <c r="I58"/>
  <c r="U58"/>
  <c r="F13"/>
  <c r="AA13"/>
  <c r="F14"/>
  <c r="AA14"/>
  <c r="B53"/>
  <c r="X70"/>
  <c r="N75"/>
  <c r="AM71"/>
  <c r="N71"/>
  <c r="I179"/>
  <c r="V73"/>
  <c r="I73"/>
  <c r="U73"/>
  <c r="B2"/>
  <c r="L2"/>
  <c r="K2"/>
  <c r="I2"/>
  <c r="H2"/>
  <c r="E2"/>
  <c r="H48"/>
  <c r="H49"/>
  <c r="H50"/>
  <c r="X47"/>
  <c r="Y47"/>
  <c r="Y14"/>
  <c r="V39"/>
  <c r="V40"/>
  <c r="V41"/>
  <c r="V42"/>
  <c r="V43"/>
  <c r="B46"/>
  <c r="H46"/>
  <c r="V46"/>
  <c r="V48"/>
  <c r="V50"/>
  <c r="H52"/>
  <c r="V52"/>
  <c r="V53"/>
  <c r="V70"/>
  <c r="V76"/>
  <c r="V78"/>
  <c r="V79"/>
  <c r="AX41"/>
  <c r="BF41"/>
  <c r="BN41"/>
  <c r="AI101"/>
  <c r="AM101"/>
  <c r="AI104"/>
  <c r="AM104"/>
  <c r="AI106"/>
  <c r="AM106"/>
  <c r="AI107"/>
  <c r="AM107"/>
  <c r="AI110"/>
  <c r="AM110"/>
  <c r="AI113"/>
  <c r="AM113"/>
  <c r="AI114"/>
  <c r="AM114"/>
  <c r="AI117"/>
  <c r="AM117"/>
  <c r="Z135"/>
  <c r="Z136"/>
  <c r="V95"/>
  <c r="AI98"/>
  <c r="AM98"/>
  <c r="AM122"/>
  <c r="H122"/>
  <c r="V122"/>
  <c r="V133"/>
  <c r="V134"/>
  <c r="H135"/>
  <c r="V135"/>
  <c r="H136"/>
  <c r="V136"/>
  <c r="H17"/>
  <c r="V17"/>
  <c r="I39"/>
  <c r="U39"/>
  <c r="I40"/>
  <c r="U40"/>
  <c r="I41"/>
  <c r="U41"/>
  <c r="I42"/>
  <c r="U42"/>
  <c r="I43"/>
  <c r="U43"/>
  <c r="I46"/>
  <c r="U46"/>
  <c r="I47"/>
  <c r="U47"/>
  <c r="I48"/>
  <c r="U48"/>
  <c r="I49"/>
  <c r="U49"/>
  <c r="AP41"/>
  <c r="B51"/>
  <c r="H51"/>
  <c r="I51"/>
  <c r="U51"/>
  <c r="I53"/>
  <c r="U53"/>
  <c r="I70"/>
  <c r="U70"/>
  <c r="I76"/>
  <c r="U76"/>
  <c r="I78"/>
  <c r="U78"/>
  <c r="I79"/>
  <c r="U79"/>
  <c r="AA95"/>
  <c r="AS95"/>
  <c r="AW95"/>
  <c r="I95"/>
  <c r="U95"/>
  <c r="AI133"/>
  <c r="F133"/>
  <c r="I133"/>
  <c r="U133"/>
  <c r="AI134"/>
  <c r="F134"/>
  <c r="I134"/>
  <c r="U134"/>
  <c r="AA135"/>
  <c r="AI135"/>
  <c r="F135"/>
  <c r="I135"/>
  <c r="U135"/>
  <c r="AA136"/>
  <c r="AI136"/>
  <c r="F136"/>
  <c r="I136"/>
  <c r="U136"/>
  <c r="I77"/>
  <c r="Y133"/>
  <c r="Y134"/>
  <c r="Y135"/>
  <c r="Y136"/>
  <c r="I17"/>
  <c r="U17"/>
  <c r="N134"/>
  <c r="N133"/>
  <c r="AE95"/>
  <c r="AD95"/>
  <c r="AC95"/>
  <c r="BI39"/>
  <c r="AS39"/>
  <c r="AM40"/>
  <c r="B40"/>
  <c r="AM41"/>
  <c r="B41"/>
  <c r="AM42"/>
  <c r="B42"/>
  <c r="BA39"/>
  <c r="AM39"/>
  <c r="B39"/>
  <c r="AX40"/>
  <c r="BF40"/>
  <c r="BN40"/>
  <c r="AP40"/>
  <c r="AW41"/>
  <c r="BE41"/>
  <c r="BM41"/>
  <c r="AO41"/>
  <c r="AX42"/>
  <c r="BF42"/>
  <c r="BN42"/>
  <c r="AP42"/>
  <c r="BI40"/>
  <c r="BJ40"/>
  <c r="BI41"/>
  <c r="BJ41"/>
  <c r="BI42"/>
  <c r="BJ42"/>
  <c r="BJ39"/>
  <c r="BA40"/>
  <c r="BA41"/>
  <c r="BA42"/>
  <c r="AU40"/>
  <c r="BB40"/>
  <c r="AU41"/>
  <c r="BB41"/>
  <c r="AU42"/>
  <c r="BB42"/>
  <c r="BB39"/>
  <c r="AU39"/>
  <c r="F52"/>
  <c r="H196"/>
  <c r="AE119"/>
  <c r="AD119"/>
  <c r="N119"/>
  <c r="B78"/>
  <c r="N70"/>
  <c r="N80"/>
  <c r="H197"/>
  <c r="X136"/>
  <c r="X135"/>
  <c r="I180"/>
  <c r="K95"/>
  <c r="K7"/>
  <c r="AT95"/>
  <c r="A95"/>
  <c r="N95"/>
  <c r="AD107"/>
  <c r="N107"/>
  <c r="AD104"/>
  <c r="N104"/>
  <c r="AD101"/>
  <c r="N101"/>
  <c r="AD98"/>
  <c r="N98"/>
  <c r="I171"/>
  <c r="I174"/>
  <c r="I166"/>
  <c r="I165"/>
  <c r="J7"/>
  <c r="AE120"/>
  <c r="AD120"/>
  <c r="N120"/>
  <c r="Z13"/>
  <c r="H13"/>
  <c r="AC13"/>
  <c r="AB13"/>
  <c r="AF15"/>
  <c r="H15"/>
  <c r="F16"/>
  <c r="I16"/>
  <c r="F12"/>
  <c r="H12"/>
  <c r="V12"/>
  <c r="H87"/>
  <c r="B87"/>
  <c r="V87"/>
  <c r="F11"/>
  <c r="I13"/>
  <c r="I15"/>
  <c r="U15"/>
  <c r="I28"/>
  <c r="U28"/>
  <c r="I29"/>
  <c r="U29"/>
  <c r="H24"/>
  <c r="H7"/>
  <c r="I24"/>
  <c r="U24"/>
  <c r="F24"/>
  <c r="B11"/>
  <c r="X13"/>
  <c r="B10"/>
  <c r="B16"/>
  <c r="AE15"/>
  <c r="Y13"/>
  <c r="B6"/>
  <c r="F15"/>
  <c r="AM59"/>
  <c r="I59"/>
  <c r="U59"/>
  <c r="AL58"/>
  <c r="B58"/>
  <c r="U13"/>
  <c r="I26"/>
  <c r="I6"/>
  <c r="X191"/>
  <c r="H195"/>
  <c r="H191"/>
  <c r="H194"/>
  <c r="H201"/>
  <c r="L197"/>
  <c r="L201"/>
  <c r="I203"/>
  <c r="I204"/>
  <c r="I205"/>
  <c r="U26"/>
  <c r="I7"/>
  <c r="AM82"/>
  <c r="N82"/>
  <c r="AM83"/>
  <c r="N83"/>
  <c r="AM81"/>
  <c r="N81"/>
  <c r="AM91"/>
  <c r="N91"/>
  <c r="Y154"/>
  <c r="X95"/>
  <c r="AS41"/>
  <c r="AS40"/>
  <c r="AS42"/>
  <c r="X66"/>
  <c r="N66"/>
  <c r="AG134"/>
  <c r="AG135"/>
  <c r="AG136"/>
  <c r="AG133"/>
  <c r="AC107"/>
  <c r="AC104"/>
  <c r="AC101"/>
  <c r="AC98"/>
  <c r="L327" i="2"/>
  <c r="L323"/>
  <c r="L324"/>
  <c r="L325"/>
  <c r="L326"/>
  <c r="L329"/>
  <c r="L330"/>
  <c r="L331"/>
  <c r="L332"/>
  <c r="L333"/>
  <c r="L334"/>
  <c r="L335"/>
  <c r="L336"/>
  <c r="L337"/>
  <c r="L338"/>
  <c r="L339"/>
  <c r="L340"/>
  <c r="L341"/>
  <c r="L342"/>
  <c r="L343"/>
  <c r="L344"/>
  <c r="L345"/>
  <c r="L346"/>
  <c r="L347"/>
  <c r="L348"/>
  <c r="L349"/>
  <c r="L350"/>
  <c r="L351"/>
  <c r="L352"/>
  <c r="L353"/>
  <c r="L354"/>
  <c r="L355"/>
  <c r="L356"/>
  <c r="L322"/>
  <c r="K338"/>
  <c r="K337"/>
  <c r="K335"/>
  <c r="K336"/>
  <c r="K331"/>
  <c r="E51"/>
  <c r="E52"/>
  <c r="E50"/>
  <c r="I41"/>
  <c r="I42"/>
  <c r="I43"/>
  <c r="I44"/>
  <c r="I45"/>
  <c r="I46"/>
  <c r="I40"/>
  <c r="N130"/>
  <c r="L131"/>
  <c r="M132"/>
  <c r="S132"/>
  <c r="S131"/>
  <c r="S129"/>
  <c r="S128"/>
  <c r="T129"/>
  <c r="T128"/>
  <c r="R129"/>
  <c r="R128"/>
  <c r="V132"/>
  <c r="V131"/>
  <c r="A128"/>
  <c r="V130"/>
  <c r="V129"/>
  <c r="V128"/>
  <c r="W129"/>
  <c r="W128"/>
  <c r="U129"/>
  <c r="U128"/>
  <c r="S130"/>
  <c r="P134"/>
  <c r="P133"/>
  <c r="P132"/>
  <c r="P131"/>
  <c r="P130"/>
  <c r="P129"/>
  <c r="P128"/>
  <c r="Q129"/>
  <c r="Q128"/>
  <c r="O129"/>
  <c r="O128"/>
  <c r="N129"/>
  <c r="N128"/>
  <c r="L130"/>
  <c r="L129"/>
  <c r="L128"/>
  <c r="M137"/>
  <c r="M136"/>
  <c r="M135"/>
  <c r="M134"/>
  <c r="M133"/>
  <c r="M131"/>
  <c r="M130"/>
  <c r="M129"/>
  <c r="M128"/>
  <c r="B128"/>
  <c r="C318"/>
  <c r="C317"/>
  <c r="C316"/>
  <c r="C315"/>
  <c r="C314"/>
  <c r="C313"/>
  <c r="C312"/>
  <c r="C311"/>
  <c r="C310"/>
  <c r="C307"/>
  <c r="C308"/>
  <c r="C306"/>
  <c r="G478"/>
  <c r="H479"/>
  <c r="H480"/>
  <c r="H489"/>
  <c r="H490"/>
  <c r="H478"/>
  <c r="B478"/>
  <c r="C362"/>
  <c r="F71"/>
  <c r="F65"/>
  <c r="F63"/>
  <c r="A544"/>
  <c r="C12"/>
  <c r="A12"/>
  <c r="C11"/>
  <c r="A11"/>
  <c r="C10"/>
  <c r="A10"/>
  <c r="C9"/>
  <c r="A9"/>
  <c r="C8"/>
  <c r="A8"/>
  <c r="C7"/>
  <c r="A7"/>
  <c r="C6"/>
  <c r="A6"/>
  <c r="C5"/>
  <c r="A5"/>
  <c r="C4"/>
  <c r="A4"/>
  <c r="C3"/>
  <c r="A3"/>
  <c r="C2"/>
  <c r="A2"/>
  <c r="E68"/>
  <c r="F532"/>
  <c r="F531"/>
  <c r="F530"/>
  <c r="L461"/>
  <c r="L460"/>
  <c r="L446"/>
  <c r="L456"/>
  <c r="L455"/>
  <c r="L454"/>
  <c r="L453"/>
  <c r="L452"/>
  <c r="L451"/>
  <c r="L450"/>
  <c r="L449"/>
  <c r="L448"/>
  <c r="L434"/>
  <c r="L433"/>
  <c r="L420"/>
  <c r="L419"/>
  <c r="L407"/>
  <c r="L406"/>
  <c r="B190"/>
  <c r="G407"/>
  <c r="G406"/>
  <c r="C264"/>
  <c r="C259"/>
  <c r="C256"/>
  <c r="C252"/>
  <c r="C247"/>
  <c r="C242"/>
  <c r="C239"/>
  <c r="C234"/>
  <c r="C229"/>
  <c r="C224"/>
  <c r="C220"/>
  <c r="C213"/>
  <c r="C208"/>
  <c r="C200"/>
  <c r="C197"/>
  <c r="G456"/>
  <c r="G449"/>
  <c r="G448"/>
  <c r="G447"/>
  <c r="F449"/>
  <c r="F448"/>
  <c r="F447"/>
  <c r="G434"/>
  <c r="F434"/>
  <c r="G433"/>
  <c r="F433"/>
  <c r="G420"/>
  <c r="F420"/>
  <c r="G419"/>
  <c r="F419"/>
  <c r="F407"/>
  <c r="F406"/>
  <c r="B377"/>
</calcChain>
</file>

<file path=xl/sharedStrings.xml><?xml version="1.0" encoding="utf-8"?>
<sst xmlns="http://schemas.openxmlformats.org/spreadsheetml/2006/main" count="1421" uniqueCount="892">
  <si>
    <t>6D, Auto 5</t>
    <phoneticPr fontId="10" type="noConversion"/>
  </si>
  <si>
    <t>Cost</t>
    <phoneticPr fontId="10" type="noConversion"/>
  </si>
  <si>
    <t>Down Payment MCr</t>
    <phoneticPr fontId="10" type="noConversion"/>
  </si>
  <si>
    <t>Additional</t>
    <phoneticPr fontId="10" type="noConversion"/>
  </si>
  <si>
    <t>Bridge Types</t>
    <phoneticPr fontId="10" type="noConversion"/>
  </si>
  <si>
    <t>Size</t>
    <phoneticPr fontId="10" type="noConversion"/>
  </si>
  <si>
    <t>Cost</t>
    <phoneticPr fontId="10" type="noConversion"/>
  </si>
  <si>
    <t>Cost/100Dt</t>
    <phoneticPr fontId="10" type="noConversion"/>
  </si>
  <si>
    <t>Max Size</t>
    <phoneticPr fontId="10" type="noConversion"/>
  </si>
  <si>
    <t>Min Size</t>
    <phoneticPr fontId="10" type="noConversion"/>
  </si>
  <si>
    <t>Row</t>
    <phoneticPr fontId="10" type="noConversion"/>
  </si>
  <si>
    <t>Station:</t>
    <phoneticPr fontId="10" type="noConversion"/>
  </si>
  <si>
    <t>Ship:</t>
    <phoneticPr fontId="10" type="noConversion"/>
  </si>
  <si>
    <t>Extra Airlocks</t>
    <phoneticPr fontId="10" type="noConversion"/>
  </si>
  <si>
    <t>Construction Deck</t>
    <phoneticPr fontId="10" type="noConversion"/>
  </si>
  <si>
    <t>PP Energy</t>
    <phoneticPr fontId="10" type="noConversion"/>
  </si>
  <si>
    <t>Service</t>
    <phoneticPr fontId="10" type="noConversion"/>
  </si>
  <si>
    <t>Specialist</t>
    <phoneticPr fontId="10" type="noConversion"/>
  </si>
  <si>
    <t>Max size per clamp</t>
    <phoneticPr fontId="10" type="noConversion"/>
  </si>
  <si>
    <t>Stealth Jump (1adv) *</t>
    <phoneticPr fontId="10" type="noConversion"/>
  </si>
  <si>
    <t>Breaching Tube</t>
    <phoneticPr fontId="10" type="noConversion"/>
  </si>
  <si>
    <t>1DD, Blast 20</t>
    <phoneticPr fontId="10" type="noConversion"/>
  </si>
  <si>
    <t>Service</t>
    <phoneticPr fontId="10" type="noConversion"/>
  </si>
  <si>
    <t>TL upgrade</t>
    <phoneticPr fontId="10" type="noConversion"/>
  </si>
  <si>
    <t>Price upgrade</t>
    <phoneticPr fontId="10" type="noConversion"/>
  </si>
  <si>
    <t>Barracks</t>
  </si>
  <si>
    <t>Barracks</t>
    <phoneticPr fontId="10" type="noConversion"/>
  </si>
  <si>
    <t>Partial</t>
    <phoneticPr fontId="10" type="noConversion"/>
  </si>
  <si>
    <t>Early Jump</t>
    <phoneticPr fontId="10" type="noConversion"/>
  </si>
  <si>
    <t>Crew</t>
    <phoneticPr fontId="10" type="noConversion"/>
  </si>
  <si>
    <t>Passengers</t>
    <phoneticPr fontId="10" type="noConversion"/>
  </si>
  <si>
    <t>Economic Potential Estimate</t>
    <phoneticPr fontId="10" type="noConversion"/>
  </si>
  <si>
    <t>Passengers</t>
    <phoneticPr fontId="10" type="noConversion"/>
  </si>
  <si>
    <t>Crew</t>
    <phoneticPr fontId="10" type="noConversion"/>
  </si>
  <si>
    <t>High</t>
    <phoneticPr fontId="10" type="noConversion"/>
  </si>
  <si>
    <t>Carried Craft</t>
    <phoneticPr fontId="10" type="noConversion"/>
  </si>
  <si>
    <t>Jump Adv</t>
    <phoneticPr fontId="10" type="noConversion"/>
  </si>
  <si>
    <t>Jump Once</t>
    <phoneticPr fontId="10" type="noConversion"/>
  </si>
  <si>
    <t>Jump Dis</t>
    <phoneticPr fontId="10" type="noConversion"/>
  </si>
  <si>
    <t xml:space="preserve"> batt rounds</t>
    <phoneticPr fontId="10" type="noConversion"/>
  </si>
  <si>
    <t>DM+2</t>
    <phoneticPr fontId="10" type="noConversion"/>
  </si>
  <si>
    <t>Reduced Size</t>
  </si>
  <si>
    <t>Custom</t>
    <phoneticPr fontId="10" type="noConversion"/>
  </si>
  <si>
    <t>Standard</t>
    <phoneticPr fontId="10" type="noConversion"/>
  </si>
  <si>
    <t>s</t>
    <phoneticPr fontId="12" type="noConversion"/>
  </si>
  <si>
    <t>Mod Cost</t>
    <phoneticPr fontId="10" type="noConversion"/>
  </si>
  <si>
    <t>Standard</t>
    <phoneticPr fontId="10" type="noConversion"/>
  </si>
  <si>
    <t>Man Once</t>
    <phoneticPr fontId="10" type="noConversion"/>
  </si>
  <si>
    <t>Meson *</t>
    <phoneticPr fontId="10" type="noConversion"/>
  </si>
  <si>
    <t>Energy Efficient</t>
    <phoneticPr fontId="10" type="noConversion"/>
  </si>
  <si>
    <t>Hvy Bomb</t>
    <phoneticPr fontId="10" type="noConversion"/>
  </si>
  <si>
    <t>Smaller Weapons</t>
    <phoneticPr fontId="10" type="noConversion"/>
  </si>
  <si>
    <t>None</t>
    <phoneticPr fontId="10" type="noConversion"/>
  </si>
  <si>
    <t>Average Skill</t>
    <phoneticPr fontId="10" type="noConversion"/>
  </si>
  <si>
    <t>Screens</t>
    <phoneticPr fontId="10" type="noConversion"/>
  </si>
  <si>
    <t>Meson Accelerator</t>
    <phoneticPr fontId="10" type="noConversion"/>
  </si>
  <si>
    <t>Plasma Gun C</t>
    <phoneticPr fontId="10" type="noConversion"/>
  </si>
  <si>
    <t>2DD</t>
    <phoneticPr fontId="10" type="noConversion"/>
  </si>
  <si>
    <t>None</t>
    <phoneticPr fontId="10" type="noConversion"/>
  </si>
  <si>
    <t>Railgun</t>
    <phoneticPr fontId="10" type="noConversion"/>
  </si>
  <si>
    <t>Auto 6</t>
    <phoneticPr fontId="10" type="noConversion"/>
  </si>
  <si>
    <t>Total Drive Capacity</t>
    <phoneticPr fontId="10" type="noConversion"/>
  </si>
  <si>
    <t>Staterooms</t>
    <phoneticPr fontId="10" type="noConversion"/>
  </si>
  <si>
    <t>Energy</t>
    <phoneticPr fontId="10" type="noConversion"/>
  </si>
  <si>
    <t>Plasma *</t>
    <phoneticPr fontId="10" type="noConversion"/>
  </si>
  <si>
    <t>Jump Fuel Tank</t>
    <phoneticPr fontId="10" type="noConversion"/>
  </si>
  <si>
    <t>Cargo</t>
    <phoneticPr fontId="10" type="noConversion"/>
  </si>
  <si>
    <t>Screens</t>
    <phoneticPr fontId="10" type="noConversion"/>
  </si>
  <si>
    <t>Fuel</t>
    <phoneticPr fontId="10" type="noConversion"/>
  </si>
  <si>
    <t>External Cargo Mount</t>
    <phoneticPr fontId="10" type="noConversion"/>
  </si>
  <si>
    <t>Quad</t>
    <phoneticPr fontId="10" type="noConversion"/>
  </si>
  <si>
    <t>2DD</t>
    <phoneticPr fontId="10" type="noConversion"/>
  </si>
  <si>
    <t>In Fuel Tanks, nominally increasing them</t>
    <phoneticPr fontId="10" type="noConversion"/>
  </si>
  <si>
    <t>Radiation?</t>
    <phoneticPr fontId="10" type="noConversion"/>
  </si>
  <si>
    <t>DM-2</t>
    <phoneticPr fontId="10" type="noConversion"/>
  </si>
  <si>
    <t>Adv Psi Shielding</t>
    <phoneticPr fontId="10" type="noConversion"/>
  </si>
  <si>
    <t>5DD, Blast 250</t>
    <phoneticPr fontId="10" type="noConversion"/>
  </si>
  <si>
    <t>Tac Missile</t>
    <phoneticPr fontId="10" type="noConversion"/>
  </si>
  <si>
    <t>Laboratory</t>
    <phoneticPr fontId="10" type="noConversion"/>
  </si>
  <si>
    <t>Virtual Crew</t>
    <phoneticPr fontId="10" type="noConversion"/>
  </si>
  <si>
    <t>8D*10</t>
    <phoneticPr fontId="10" type="noConversion"/>
  </si>
  <si>
    <t>DM</t>
    <phoneticPr fontId="10" type="noConversion"/>
  </si>
  <si>
    <t>Magazine</t>
    <phoneticPr fontId="10" type="noConversion"/>
  </si>
  <si>
    <t>Advanced Fire Control</t>
    <phoneticPr fontId="10" type="noConversion"/>
  </si>
  <si>
    <t>3DD</t>
    <phoneticPr fontId="10" type="noConversion"/>
  </si>
  <si>
    <t>4D</t>
    <phoneticPr fontId="10" type="noConversion"/>
  </si>
  <si>
    <t>6D</t>
    <phoneticPr fontId="10" type="noConversion"/>
  </si>
  <si>
    <t>5DD</t>
    <phoneticPr fontId="10" type="noConversion"/>
  </si>
  <si>
    <t>Double</t>
    <phoneticPr fontId="10" type="noConversion"/>
  </si>
  <si>
    <t>Superior DM-6-∆TL</t>
    <phoneticPr fontId="10" type="noConversion"/>
  </si>
  <si>
    <t>Nuclear Damper</t>
  </si>
  <si>
    <t>Detachable</t>
    <phoneticPr fontId="10" type="noConversion"/>
  </si>
  <si>
    <t xml:space="preserve">When done go to the detailed ship sheet with </t>
    <phoneticPr fontId="12" type="noConversion"/>
  </si>
  <si>
    <t>Spinal Tech mod</t>
    <phoneticPr fontId="10" type="noConversion"/>
  </si>
  <si>
    <t>Residential Zone</t>
    <phoneticPr fontId="10" type="noConversion"/>
  </si>
  <si>
    <t/>
  </si>
  <si>
    <t>Size</t>
    <phoneticPr fontId="10" type="noConversion"/>
  </si>
  <si>
    <t>Evade</t>
    <phoneticPr fontId="10" type="noConversion"/>
  </si>
  <si>
    <t>Extra</t>
    <phoneticPr fontId="10" type="noConversion"/>
  </si>
  <si>
    <t>Engineer</t>
    <phoneticPr fontId="10" type="noConversion"/>
  </si>
  <si>
    <t>Drop</t>
    <phoneticPr fontId="10" type="noConversion"/>
  </si>
  <si>
    <t>accomodation</t>
    <phoneticPr fontId="12" type="noConversion"/>
  </si>
  <si>
    <t>8D</t>
    <phoneticPr fontId="10" type="noConversion"/>
  </si>
  <si>
    <t>Fuel</t>
    <phoneticPr fontId="10" type="noConversion"/>
  </si>
  <si>
    <t>Repeatable</t>
    <phoneticPr fontId="10" type="noConversion"/>
  </si>
  <si>
    <t>Reaction</t>
    <phoneticPr fontId="10" type="noConversion"/>
  </si>
  <si>
    <t>Full:</t>
    <phoneticPr fontId="10" type="noConversion"/>
  </si>
  <si>
    <t>Gunner</t>
    <phoneticPr fontId="10" type="noConversion"/>
  </si>
  <si>
    <t>Jump</t>
    <phoneticPr fontId="10" type="noConversion"/>
  </si>
  <si>
    <t>Assault Capsule</t>
    <phoneticPr fontId="10" type="noConversion"/>
  </si>
  <si>
    <t>Deep Penetration Scanner</t>
    <phoneticPr fontId="10" type="noConversion"/>
  </si>
  <si>
    <t>Life Scanner</t>
    <phoneticPr fontId="10" type="noConversion"/>
  </si>
  <si>
    <t>Large Bay</t>
    <phoneticPr fontId="10" type="noConversion"/>
  </si>
  <si>
    <t>Early Prototype</t>
    <phoneticPr fontId="10" type="noConversion"/>
  </si>
  <si>
    <t>Batteries</t>
    <phoneticPr fontId="10" type="noConversion"/>
  </si>
  <si>
    <t>Energy Inefficient</t>
    <phoneticPr fontId="10" type="noConversion"/>
  </si>
  <si>
    <t>Fuel Efficient</t>
  </si>
  <si>
    <t>Recovery Deck</t>
    <phoneticPr fontId="10" type="noConversion"/>
  </si>
  <si>
    <t>Briefing Room</t>
  </si>
  <si>
    <t>Fuel Inefficient</t>
    <phoneticPr fontId="10" type="noConversion"/>
  </si>
  <si>
    <t>Extended</t>
    <phoneticPr fontId="10" type="noConversion"/>
  </si>
  <si>
    <t>Specialists</t>
    <phoneticPr fontId="10" type="noConversion"/>
  </si>
  <si>
    <t>Mail Array</t>
    <phoneticPr fontId="10" type="noConversion"/>
  </si>
  <si>
    <t>Long</t>
    <phoneticPr fontId="10" type="noConversion"/>
  </si>
  <si>
    <t>Aerofins</t>
    <phoneticPr fontId="10" type="noConversion"/>
  </si>
  <si>
    <t>Cost / Jump</t>
    <phoneticPr fontId="10" type="noConversion"/>
  </si>
  <si>
    <t>Drive Base</t>
    <phoneticPr fontId="10" type="noConversion"/>
  </si>
  <si>
    <t>Troop Transport</t>
    <phoneticPr fontId="10" type="noConversion"/>
  </si>
  <si>
    <t>Fusion Gun Z</t>
    <phoneticPr fontId="10" type="noConversion"/>
  </si>
  <si>
    <t>Deployment Shuttle</t>
    <phoneticPr fontId="10" type="noConversion"/>
  </si>
  <si>
    <t>Low</t>
    <phoneticPr fontId="10" type="noConversion"/>
  </si>
  <si>
    <t>Staterooms</t>
    <phoneticPr fontId="10" type="noConversion"/>
  </si>
  <si>
    <t>Type I, 30 dT</t>
    <phoneticPr fontId="10" type="noConversion"/>
  </si>
  <si>
    <t>Income per jump kCr</t>
    <phoneticPr fontId="10" type="noConversion"/>
  </si>
  <si>
    <t>Hardpoints</t>
    <phoneticPr fontId="10" type="noConversion"/>
  </si>
  <si>
    <t>Type II, 2D</t>
  </si>
  <si>
    <t>Jump Drive</t>
    <phoneticPr fontId="10" type="noConversion"/>
  </si>
  <si>
    <t>People</t>
    <phoneticPr fontId="10" type="noConversion"/>
  </si>
  <si>
    <t>Life Supp</t>
    <phoneticPr fontId="10" type="noConversion"/>
  </si>
  <si>
    <t>Max Size</t>
    <phoneticPr fontId="10" type="noConversion"/>
  </si>
  <si>
    <t>Reinforced</t>
    <phoneticPr fontId="10" type="noConversion"/>
  </si>
  <si>
    <t>Ready</t>
    <phoneticPr fontId="10" type="noConversion"/>
  </si>
  <si>
    <t>Reserve</t>
    <phoneticPr fontId="10" type="noConversion"/>
  </si>
  <si>
    <t>Partial</t>
    <phoneticPr fontId="10" type="noConversion"/>
  </si>
  <si>
    <r>
      <t xml:space="preserve">  </t>
    </r>
    <r>
      <rPr>
        <sz val="10"/>
        <rFont val="Menlo Regular"/>
      </rPr>
      <t>↳</t>
    </r>
    <r>
      <rPr>
        <sz val="10"/>
        <rFont val="Verdana"/>
      </rPr>
      <t xml:space="preserve"> Emergency Power</t>
    </r>
    <phoneticPr fontId="10" type="noConversion"/>
  </si>
  <si>
    <r>
      <t xml:space="preserve">  </t>
    </r>
    <r>
      <rPr>
        <sz val="10"/>
        <rFont val="Menlo Regular"/>
      </rPr>
      <t>↳</t>
    </r>
    <r>
      <rPr>
        <sz val="10"/>
        <rFont val="Verdana"/>
      </rPr>
      <t xml:space="preserve"> Array</t>
    </r>
    <phoneticPr fontId="10" type="noConversion"/>
  </si>
  <si>
    <t>Orbital Assault Capsule Launcher</t>
    <phoneticPr fontId="10" type="noConversion"/>
  </si>
  <si>
    <t>Orbital Support Capsule Launcher</t>
    <phoneticPr fontId="10" type="noConversion"/>
  </si>
  <si>
    <t># of advantages</t>
    <phoneticPr fontId="10" type="noConversion"/>
  </si>
  <si>
    <t>Increased Size</t>
  </si>
  <si>
    <t>Increased Size</t>
    <phoneticPr fontId="10" type="noConversion"/>
  </si>
  <si>
    <t>Custom</t>
  </si>
  <si>
    <t>Military</t>
    <phoneticPr fontId="10" type="noConversion"/>
  </si>
  <si>
    <t>Heavy Grappling Arm</t>
    <phoneticPr fontId="10" type="noConversion"/>
  </si>
  <si>
    <t>Pilot DM+2</t>
    <phoneticPr fontId="10" type="noConversion"/>
  </si>
  <si>
    <t>Weapons</t>
    <phoneticPr fontId="10" type="noConversion"/>
  </si>
  <si>
    <t>Flight</t>
    <phoneticPr fontId="10" type="noConversion"/>
  </si>
  <si>
    <t>Emergency</t>
    <phoneticPr fontId="10" type="noConversion"/>
  </si>
  <si>
    <t>Life Support</t>
    <phoneticPr fontId="10" type="noConversion"/>
  </si>
  <si>
    <t>People</t>
    <phoneticPr fontId="10" type="noConversion"/>
  </si>
  <si>
    <t>DM-1</t>
    <phoneticPr fontId="10" type="noConversion"/>
  </si>
  <si>
    <t>Size</t>
    <phoneticPr fontId="10" type="noConversion"/>
  </si>
  <si>
    <t>Linkage Cost</t>
    <phoneticPr fontId="10" type="noConversion"/>
  </si>
  <si>
    <t>J, M, PP</t>
    <phoneticPr fontId="10" type="noConversion"/>
  </si>
  <si>
    <t>Limited Range *</t>
    <phoneticPr fontId="10" type="noConversion"/>
  </si>
  <si>
    <t>Default Dis</t>
    <phoneticPr fontId="10" type="noConversion"/>
  </si>
  <si>
    <t>Default Adv</t>
    <phoneticPr fontId="10" type="noConversion"/>
  </si>
  <si>
    <t>Once</t>
    <phoneticPr fontId="10" type="noConversion"/>
  </si>
  <si>
    <t>Craft</t>
    <phoneticPr fontId="10" type="noConversion"/>
  </si>
  <si>
    <t>Q</t>
    <phoneticPr fontId="10" type="noConversion"/>
  </si>
  <si>
    <t>R</t>
    <phoneticPr fontId="10" type="noConversion"/>
  </si>
  <si>
    <t>S</t>
    <phoneticPr fontId="10" type="noConversion"/>
  </si>
  <si>
    <t>Smart</t>
    <phoneticPr fontId="10" type="noConversion"/>
  </si>
  <si>
    <t>4D, Auto 6</t>
    <phoneticPr fontId="10" type="noConversion"/>
  </si>
  <si>
    <t>Fusion Gun X</t>
    <phoneticPr fontId="10" type="noConversion"/>
  </si>
  <si>
    <t>Mid</t>
    <phoneticPr fontId="10" type="noConversion"/>
  </si>
  <si>
    <t>Plasma Gun A</t>
    <phoneticPr fontId="10" type="noConversion"/>
  </si>
  <si>
    <t>Adv Deep Space Comm Relay</t>
    <phoneticPr fontId="10" type="noConversion"/>
  </si>
  <si>
    <t>Extension Net</t>
    <phoneticPr fontId="10" type="noConversion"/>
  </si>
  <si>
    <t>Size</t>
    <phoneticPr fontId="10" type="noConversion"/>
  </si>
  <si>
    <t>Drive Advantages</t>
    <phoneticPr fontId="10" type="noConversion"/>
  </si>
  <si>
    <t>None</t>
    <phoneticPr fontId="10" type="noConversion"/>
  </si>
  <si>
    <t>Once</t>
    <phoneticPr fontId="10" type="noConversion"/>
  </si>
  <si>
    <t>Man Adv</t>
    <phoneticPr fontId="10" type="noConversion"/>
  </si>
  <si>
    <t>Total External Load</t>
    <phoneticPr fontId="10" type="noConversion"/>
  </si>
  <si>
    <t>none</t>
    <phoneticPr fontId="12" type="noConversion"/>
  </si>
  <si>
    <t>ToHit+2</t>
    <phoneticPr fontId="10" type="noConversion"/>
  </si>
  <si>
    <t>Life Support</t>
    <phoneticPr fontId="10" type="noConversion"/>
  </si>
  <si>
    <t>Particle</t>
    <phoneticPr fontId="10" type="noConversion"/>
  </si>
  <si>
    <t>Re-entry Capsule</t>
    <phoneticPr fontId="10" type="noConversion"/>
  </si>
  <si>
    <t>Buffered Planetoid</t>
    <phoneticPr fontId="10" type="noConversion"/>
  </si>
  <si>
    <t>Coonfiguration</t>
    <phoneticPr fontId="10" type="noConversion"/>
  </si>
  <si>
    <t>Power</t>
    <phoneticPr fontId="10" type="noConversion"/>
  </si>
  <si>
    <t>Cargo</t>
    <phoneticPr fontId="10" type="noConversion"/>
  </si>
  <si>
    <t>Re-entry Pod</t>
    <phoneticPr fontId="10" type="noConversion"/>
  </si>
  <si>
    <t>Dual</t>
    <phoneticPr fontId="10" type="noConversion"/>
  </si>
  <si>
    <t>DM±0</t>
    <phoneticPr fontId="10" type="noConversion"/>
  </si>
  <si>
    <t>Hardening</t>
    <phoneticPr fontId="10" type="noConversion"/>
  </si>
  <si>
    <t>4D, Auto 3</t>
    <phoneticPr fontId="10" type="noConversion"/>
  </si>
  <si>
    <t>FGMP-14</t>
    <phoneticPr fontId="10" type="noConversion"/>
  </si>
  <si>
    <t>None</t>
    <phoneticPr fontId="10" type="noConversion"/>
  </si>
  <si>
    <t>Library</t>
    <phoneticPr fontId="10" type="noConversion"/>
  </si>
  <si>
    <t>Computer</t>
    <phoneticPr fontId="10" type="noConversion"/>
  </si>
  <si>
    <t>Molecular Bonded</t>
    <phoneticPr fontId="10" type="noConversion"/>
  </si>
  <si>
    <t>Max Prot</t>
    <phoneticPr fontId="10" type="noConversion"/>
  </si>
  <si>
    <t>Computer</t>
    <phoneticPr fontId="12" type="noConversion"/>
  </si>
  <si>
    <t>computer</t>
    <phoneticPr fontId="12" type="noConversion"/>
  </si>
  <si>
    <t>Large Bay</t>
    <phoneticPr fontId="10" type="noConversion"/>
  </si>
  <si>
    <t>EW DM:</t>
    <phoneticPr fontId="10" type="noConversion"/>
  </si>
  <si>
    <t>Column Check Sum:</t>
    <phoneticPr fontId="10" type="noConversion"/>
  </si>
  <si>
    <t>Bulk</t>
    <phoneticPr fontId="10" type="noConversion"/>
  </si>
  <si>
    <t>Light</t>
    <phoneticPr fontId="10" type="noConversion"/>
  </si>
  <si>
    <t>Refined</t>
    <phoneticPr fontId="10" type="noConversion"/>
  </si>
  <si>
    <t>Accommodation</t>
    <phoneticPr fontId="12" type="noConversion"/>
  </si>
  <si>
    <t>Drop Tanks</t>
    <phoneticPr fontId="10" type="noConversion"/>
  </si>
  <si>
    <t>Crystaliron</t>
    <phoneticPr fontId="10" type="noConversion"/>
  </si>
  <si>
    <t>Meson *</t>
    <phoneticPr fontId="10" type="noConversion"/>
  </si>
  <si>
    <t>Hull</t>
    <phoneticPr fontId="10" type="noConversion"/>
  </si>
  <si>
    <t>sensor</t>
    <phoneticPr fontId="12" type="noConversion"/>
  </si>
  <si>
    <t>Cargo Crane</t>
    <phoneticPr fontId="10" type="noConversion"/>
  </si>
  <si>
    <t>Multi-Environment Space</t>
    <phoneticPr fontId="10" type="noConversion"/>
  </si>
  <si>
    <t>Shuttle</t>
    <phoneticPr fontId="10" type="noConversion"/>
  </si>
  <si>
    <t>Point Defence</t>
    <phoneticPr fontId="10" type="noConversion"/>
  </si>
  <si>
    <t>HiSurvivability Capsule</t>
    <phoneticPr fontId="10" type="noConversion"/>
  </si>
  <si>
    <t>Default Dis</t>
    <phoneticPr fontId="10" type="noConversion"/>
  </si>
  <si>
    <t>Jump</t>
  </si>
  <si>
    <t>Jump</t>
    <phoneticPr fontId="10" type="noConversion"/>
  </si>
  <si>
    <t>Drop</t>
    <phoneticPr fontId="10" type="noConversion"/>
  </si>
  <si>
    <t>Late Jump</t>
    <phoneticPr fontId="10" type="noConversion"/>
  </si>
  <si>
    <t>1DD</t>
    <phoneticPr fontId="10" type="noConversion"/>
  </si>
  <si>
    <t>Maintenance</t>
    <phoneticPr fontId="10" type="noConversion"/>
  </si>
  <si>
    <t>Fuel</t>
    <phoneticPr fontId="10" type="noConversion"/>
  </si>
  <si>
    <t>Low</t>
    <phoneticPr fontId="10" type="noConversion"/>
  </si>
  <si>
    <t>crew</t>
    <phoneticPr fontId="12" type="noConversion"/>
  </si>
  <si>
    <t>six</t>
    <phoneticPr fontId="10" type="noConversion"/>
  </si>
  <si>
    <t>seven</t>
    <phoneticPr fontId="10" type="noConversion"/>
  </si>
  <si>
    <t>Distributed</t>
    <phoneticPr fontId="10" type="noConversion"/>
  </si>
  <si>
    <t>Jumps / Year</t>
    <phoneticPr fontId="10" type="noConversion"/>
  </si>
  <si>
    <t>Software</t>
    <phoneticPr fontId="10" type="noConversion"/>
  </si>
  <si>
    <t>M</t>
    <phoneticPr fontId="10" type="noConversion"/>
  </si>
  <si>
    <t>M</t>
    <phoneticPr fontId="10" type="noConversion"/>
  </si>
  <si>
    <t>Total External Load</t>
  </si>
  <si>
    <t>Light Fighter</t>
    <phoneticPr fontId="10" type="noConversion"/>
  </si>
  <si>
    <t>Plasma-pulse *</t>
    <phoneticPr fontId="10" type="noConversion"/>
  </si>
  <si>
    <t>Power</t>
    <phoneticPr fontId="10" type="noConversion"/>
  </si>
  <si>
    <t>Engineer</t>
    <phoneticPr fontId="10" type="noConversion"/>
  </si>
  <si>
    <t>High</t>
    <phoneticPr fontId="10" type="noConversion"/>
  </si>
  <si>
    <t>Fleet Trait: Hardening</t>
    <phoneticPr fontId="10" type="noConversion"/>
  </si>
  <si>
    <t>Turret</t>
    <phoneticPr fontId="10" type="noConversion"/>
  </si>
  <si>
    <t>five</t>
    <phoneticPr fontId="10" type="noConversion"/>
  </si>
  <si>
    <t>Code</t>
    <phoneticPr fontId="10" type="noConversion"/>
  </si>
  <si>
    <t>Double Hull</t>
  </si>
  <si>
    <t>None</t>
    <phoneticPr fontId="10" type="noConversion"/>
  </si>
  <si>
    <t>Holographic</t>
    <phoneticPr fontId="10" type="noConversion"/>
  </si>
  <si>
    <t>Aerofins</t>
  </si>
  <si>
    <t>4DD</t>
    <phoneticPr fontId="10" type="noConversion"/>
  </si>
  <si>
    <t>Auto 6</t>
    <phoneticPr fontId="10" type="noConversion"/>
  </si>
  <si>
    <t>Auto 5</t>
    <phoneticPr fontId="10" type="noConversion"/>
  </si>
  <si>
    <t>Grappling Arm</t>
    <phoneticPr fontId="10" type="noConversion"/>
  </si>
  <si>
    <t>Improved</t>
    <phoneticPr fontId="10" type="noConversion"/>
  </si>
  <si>
    <t>Forced Linkage</t>
    <phoneticPr fontId="10" type="noConversion"/>
  </si>
  <si>
    <t xml:space="preserve">    Medic</t>
    <phoneticPr fontId="10" type="noConversion"/>
  </si>
  <si>
    <t>Shallow Penetration Suite</t>
  </si>
  <si>
    <t>Briefing Room</t>
    <phoneticPr fontId="10" type="noConversion"/>
  </si>
  <si>
    <t>Armour</t>
    <phoneticPr fontId="10" type="noConversion"/>
  </si>
  <si>
    <t>Default Adv</t>
    <phoneticPr fontId="10" type="noConversion"/>
  </si>
  <si>
    <t>Default Dis</t>
    <phoneticPr fontId="10" type="noConversion"/>
  </si>
  <si>
    <t>Fire Control</t>
    <phoneticPr fontId="10" type="noConversion"/>
  </si>
  <si>
    <t>Tractor *</t>
    <phoneticPr fontId="10" type="noConversion"/>
  </si>
  <si>
    <t>Meson *</t>
    <phoneticPr fontId="10" type="noConversion"/>
  </si>
  <si>
    <t>#Wpns</t>
    <phoneticPr fontId="10" type="noConversion"/>
  </si>
  <si>
    <t>ECM</t>
    <phoneticPr fontId="10" type="noConversion"/>
  </si>
  <si>
    <t>AP15</t>
    <phoneticPr fontId="10" type="noConversion"/>
  </si>
  <si>
    <t>Name</t>
    <phoneticPr fontId="10" type="noConversion"/>
  </si>
  <si>
    <t>Include craft</t>
    <phoneticPr fontId="10" type="noConversion"/>
  </si>
  <si>
    <t>Particle</t>
  </si>
  <si>
    <t>Launch</t>
    <phoneticPr fontId="10" type="noConversion"/>
  </si>
  <si>
    <t>Workshop</t>
  </si>
  <si>
    <t>Low Berths</t>
    <phoneticPr fontId="10" type="noConversion"/>
  </si>
  <si>
    <t>one</t>
    <phoneticPr fontId="12" type="noConversion"/>
  </si>
  <si>
    <t>Bridge</t>
    <phoneticPr fontId="12" type="noConversion"/>
  </si>
  <si>
    <t>Budget?</t>
    <phoneticPr fontId="10" type="noConversion"/>
  </si>
  <si>
    <t>Description</t>
    <phoneticPr fontId="10" type="noConversion"/>
  </si>
  <si>
    <t>Improved</t>
    <phoneticPr fontId="10" type="noConversion"/>
  </si>
  <si>
    <t>Enhanced</t>
    <phoneticPr fontId="10" type="noConversion"/>
  </si>
  <si>
    <t>Troops</t>
    <phoneticPr fontId="10" type="noConversion"/>
  </si>
  <si>
    <t>Officer</t>
    <phoneticPr fontId="10" type="noConversion"/>
  </si>
  <si>
    <t>Bridge</t>
    <phoneticPr fontId="10" type="noConversion"/>
  </si>
  <si>
    <t>Sensor</t>
    <phoneticPr fontId="10" type="noConversion"/>
  </si>
  <si>
    <t>Collapsible Tanks</t>
    <phoneticPr fontId="10" type="noConversion"/>
  </si>
  <si>
    <t>Jump Demountable Tanks in Cargo</t>
    <phoneticPr fontId="10" type="noConversion"/>
  </si>
  <si>
    <t>Drop Tank Collar</t>
    <phoneticPr fontId="10" type="noConversion"/>
  </si>
  <si>
    <t>Jump</t>
    <phoneticPr fontId="10" type="noConversion"/>
  </si>
  <si>
    <t>Blast 20</t>
    <phoneticPr fontId="10" type="noConversion"/>
  </si>
  <si>
    <t>Blast 30</t>
    <phoneticPr fontId="10" type="noConversion"/>
  </si>
  <si>
    <t>Ship, Small</t>
    <phoneticPr fontId="10" type="noConversion"/>
  </si>
  <si>
    <t>Ship</t>
    <phoneticPr fontId="10" type="noConversion"/>
  </si>
  <si>
    <t>Adv Probe Drones</t>
    <phoneticPr fontId="10" type="noConversion"/>
  </si>
  <si>
    <t>Mining Drones</t>
    <phoneticPr fontId="10" type="noConversion"/>
  </si>
  <si>
    <t>HMG</t>
    <phoneticPr fontId="10" type="noConversion"/>
  </si>
  <si>
    <t>Stealth Jump (2adv) *</t>
    <phoneticPr fontId="10" type="noConversion"/>
  </si>
  <si>
    <t>Stealth1</t>
    <phoneticPr fontId="10" type="noConversion"/>
  </si>
  <si>
    <t>Type III, 3D</t>
  </si>
  <si>
    <t>Avg Filled Capacity</t>
    <phoneticPr fontId="10" type="noConversion"/>
  </si>
  <si>
    <t>Core</t>
    <phoneticPr fontId="10" type="noConversion"/>
  </si>
  <si>
    <t>Cargo Scoop</t>
    <phoneticPr fontId="10" type="noConversion"/>
  </si>
  <si>
    <t>Extra low berths</t>
    <phoneticPr fontId="10" type="noConversion"/>
  </si>
  <si>
    <t>Hull Strength</t>
    <phoneticPr fontId="10" type="noConversion"/>
  </si>
  <si>
    <t>Comp</t>
    <phoneticPr fontId="10" type="noConversion"/>
  </si>
  <si>
    <t>Missiles</t>
    <phoneticPr fontId="10" type="noConversion"/>
  </si>
  <si>
    <t>s</t>
    <phoneticPr fontId="12" type="noConversion"/>
  </si>
  <si>
    <t>Cost</t>
    <phoneticPr fontId="10" type="noConversion"/>
  </si>
  <si>
    <t>Auto 8</t>
    <phoneticPr fontId="10" type="noConversion"/>
  </si>
  <si>
    <t>Advantages / Disadvantages</t>
    <phoneticPr fontId="10" type="noConversion"/>
  </si>
  <si>
    <t>Short Name</t>
    <phoneticPr fontId="10" type="noConversion"/>
  </si>
  <si>
    <t>FuEff</t>
    <phoneticPr fontId="10" type="noConversion"/>
  </si>
  <si>
    <t>Reac Dis</t>
    <phoneticPr fontId="10" type="noConversion"/>
  </si>
  <si>
    <t xml:space="preserve">    Steward</t>
    <phoneticPr fontId="10" type="noConversion"/>
  </si>
  <si>
    <t>Docking Clamp</t>
    <phoneticPr fontId="10" type="noConversion"/>
  </si>
  <si>
    <t>Biosphere / Hydroponic Garden</t>
    <phoneticPr fontId="10" type="noConversion"/>
  </si>
  <si>
    <t>Stealth DM-2</t>
    <phoneticPr fontId="10" type="noConversion"/>
  </si>
  <si>
    <t>4D</t>
    <phoneticPr fontId="10" type="noConversion"/>
  </si>
  <si>
    <t>PP Adv</t>
    <phoneticPr fontId="10" type="noConversion"/>
  </si>
  <si>
    <t>PP Once</t>
    <phoneticPr fontId="10" type="noConversion"/>
  </si>
  <si>
    <t>PP Dis</t>
    <phoneticPr fontId="10" type="noConversion"/>
  </si>
  <si>
    <t>2D*10</t>
    <phoneticPr fontId="10" type="noConversion"/>
  </si>
  <si>
    <t>Titanium Steel</t>
    <phoneticPr fontId="10" type="noConversion"/>
  </si>
  <si>
    <t>Ctrl+PgDown or click on the "Ship" tab below.</t>
    <phoneticPr fontId="12" type="noConversion"/>
  </si>
  <si>
    <t>Streamlined</t>
    <phoneticPr fontId="10" type="noConversion"/>
  </si>
  <si>
    <t>Type</t>
    <phoneticPr fontId="10" type="noConversion"/>
  </si>
  <si>
    <t>Auto 4</t>
    <phoneticPr fontId="10" type="noConversion"/>
  </si>
  <si>
    <t>nine</t>
    <phoneticPr fontId="10" type="noConversion"/>
  </si>
  <si>
    <t>Gen Ammo</t>
    <phoneticPr fontId="10" type="noConversion"/>
  </si>
  <si>
    <t>zero</t>
    <phoneticPr fontId="10" type="noConversion"/>
  </si>
  <si>
    <t>Bridge</t>
    <phoneticPr fontId="10" type="noConversion"/>
  </si>
  <si>
    <t>Auto 4</t>
    <phoneticPr fontId="10" type="noConversion"/>
  </si>
  <si>
    <t>Crew</t>
    <phoneticPr fontId="12" type="noConversion"/>
  </si>
  <si>
    <t>Triple</t>
    <phoneticPr fontId="10" type="noConversion"/>
  </si>
  <si>
    <t>one</t>
    <phoneticPr fontId="10" type="noConversion"/>
  </si>
  <si>
    <t>Acceleration Bench (4 seats)</t>
    <phoneticPr fontId="10" type="noConversion"/>
  </si>
  <si>
    <t>Stealth</t>
    <phoneticPr fontId="10" type="noConversion"/>
  </si>
  <si>
    <t>Advanced</t>
    <phoneticPr fontId="10" type="noConversion"/>
  </si>
  <si>
    <t>Intellect</t>
    <phoneticPr fontId="10" type="noConversion"/>
  </si>
  <si>
    <t>Short</t>
    <phoneticPr fontId="10" type="noConversion"/>
  </si>
  <si>
    <t>Staterooms, High</t>
    <phoneticPr fontId="10" type="noConversion"/>
  </si>
  <si>
    <t>Max Size</t>
    <phoneticPr fontId="10" type="noConversion"/>
  </si>
  <si>
    <t>Energy Inefficient</t>
  </si>
  <si>
    <t>Jump (book)</t>
    <phoneticPr fontId="10" type="noConversion"/>
  </si>
  <si>
    <t>Energy</t>
    <phoneticPr fontId="10" type="noConversion"/>
  </si>
  <si>
    <t>Decreased Fuel</t>
    <phoneticPr fontId="10" type="noConversion"/>
  </si>
  <si>
    <t>Upper Middle</t>
    <phoneticPr fontId="10" type="noConversion"/>
  </si>
  <si>
    <t>Cockpit</t>
    <phoneticPr fontId="10" type="noConversion"/>
  </si>
  <si>
    <t>Primary</t>
    <phoneticPr fontId="10" type="noConversion"/>
  </si>
  <si>
    <t>Ship's Boat</t>
    <phoneticPr fontId="10" type="noConversion"/>
  </si>
  <si>
    <t>Slow Boat</t>
    <phoneticPr fontId="10" type="noConversion"/>
  </si>
  <si>
    <t>Default</t>
    <phoneticPr fontId="10" type="noConversion"/>
  </si>
  <si>
    <t>X</t>
    <phoneticPr fontId="10" type="noConversion"/>
  </si>
  <si>
    <t>Lt Bomb</t>
    <phoneticPr fontId="10" type="noConversion"/>
  </si>
  <si>
    <t>Life Support</t>
    <phoneticPr fontId="10" type="noConversion"/>
  </si>
  <si>
    <t>Small Bay</t>
    <phoneticPr fontId="10" type="noConversion"/>
  </si>
  <si>
    <t>Reduced Size</t>
    <phoneticPr fontId="10" type="noConversion"/>
  </si>
  <si>
    <t>Prot</t>
    <phoneticPr fontId="10" type="noConversion"/>
  </si>
  <si>
    <t>sensor operator</t>
    <phoneticPr fontId="12" type="noConversion"/>
  </si>
  <si>
    <t>PGMP-13</t>
    <phoneticPr fontId="10" type="noConversion"/>
  </si>
  <si>
    <t>Hangars</t>
    <phoneticPr fontId="10" type="noConversion"/>
  </si>
  <si>
    <t>Electronic Warfare</t>
    <phoneticPr fontId="10" type="noConversion"/>
  </si>
  <si>
    <t>Y</t>
    <phoneticPr fontId="10" type="noConversion"/>
  </si>
  <si>
    <t>Z</t>
    <phoneticPr fontId="10" type="noConversion"/>
  </si>
  <si>
    <t>UNREP</t>
    <phoneticPr fontId="10" type="noConversion"/>
  </si>
  <si>
    <t>Medical Bay</t>
    <phoneticPr fontId="10" type="noConversion"/>
  </si>
  <si>
    <t>C</t>
    <phoneticPr fontId="10" type="noConversion"/>
  </si>
  <si>
    <t>twelve</t>
    <phoneticPr fontId="10" type="noConversion"/>
  </si>
  <si>
    <t>dTon</t>
    <phoneticPr fontId="10" type="noConversion"/>
  </si>
  <si>
    <t>Anti-Hijack</t>
    <phoneticPr fontId="10" type="noConversion"/>
  </si>
  <si>
    <t>Gig</t>
    <phoneticPr fontId="10" type="noConversion"/>
  </si>
  <si>
    <t>Deep Space Comm Relay</t>
    <phoneticPr fontId="10" type="noConversion"/>
  </si>
  <si>
    <t>Very Advanced</t>
    <phoneticPr fontId="10" type="noConversion"/>
  </si>
  <si>
    <t>High Technology</t>
    <phoneticPr fontId="10" type="noConversion"/>
  </si>
  <si>
    <t>Crew</t>
    <phoneticPr fontId="10" type="noConversion"/>
  </si>
  <si>
    <t>one</t>
    <phoneticPr fontId="12" type="noConversion"/>
  </si>
  <si>
    <t>Sensor DM:</t>
    <phoneticPr fontId="10" type="noConversion"/>
  </si>
  <si>
    <t>Airlock</t>
    <phoneticPr fontId="10" type="noConversion"/>
  </si>
  <si>
    <t>High</t>
    <phoneticPr fontId="10" type="noConversion"/>
  </si>
  <si>
    <t>Auto-Repair</t>
    <phoneticPr fontId="10" type="noConversion"/>
  </si>
  <si>
    <t>Rating</t>
    <phoneticPr fontId="10" type="noConversion"/>
  </si>
  <si>
    <t>Sensors</t>
    <phoneticPr fontId="12" type="noConversion"/>
  </si>
  <si>
    <t>Name</t>
    <phoneticPr fontId="10" type="noConversion"/>
  </si>
  <si>
    <t>Tow Cable</t>
    <phoneticPr fontId="10" type="noConversion"/>
  </si>
  <si>
    <t>Recalculate Thrust</t>
    <phoneticPr fontId="10" type="noConversion"/>
  </si>
  <si>
    <t>Desired</t>
    <phoneticPr fontId="10" type="noConversion"/>
  </si>
  <si>
    <t>Signal Processor</t>
    <phoneticPr fontId="10" type="noConversion"/>
  </si>
  <si>
    <t>turrets</t>
    <phoneticPr fontId="10" type="noConversion"/>
  </si>
  <si>
    <t>TL</t>
    <phoneticPr fontId="10" type="noConversion"/>
  </si>
  <si>
    <t>Alt Cost</t>
    <phoneticPr fontId="10" type="noConversion"/>
  </si>
  <si>
    <t>None</t>
    <phoneticPr fontId="10" type="noConversion"/>
  </si>
  <si>
    <t>TL</t>
    <phoneticPr fontId="10" type="noConversion"/>
  </si>
  <si>
    <t>Stage</t>
    <phoneticPr fontId="10" type="noConversion"/>
  </si>
  <si>
    <t>Turret</t>
    <phoneticPr fontId="10" type="noConversion"/>
  </si>
  <si>
    <t>Backup Comp</t>
    <phoneticPr fontId="10" type="noConversion"/>
  </si>
  <si>
    <t>Base</t>
    <phoneticPr fontId="10" type="noConversion"/>
  </si>
  <si>
    <t>dTon</t>
    <phoneticPr fontId="10" type="noConversion"/>
  </si>
  <si>
    <t>Reaction Drive</t>
    <phoneticPr fontId="10" type="noConversion"/>
  </si>
  <si>
    <t>Traits</t>
    <phoneticPr fontId="10" type="noConversion"/>
  </si>
  <si>
    <t>FuIneff</t>
    <phoneticPr fontId="10" type="noConversion"/>
  </si>
  <si>
    <t>Meson</t>
    <phoneticPr fontId="10" type="noConversion"/>
  </si>
  <si>
    <t>Hangar</t>
  </si>
  <si>
    <t>Docking Space</t>
  </si>
  <si>
    <t>User Defined System</t>
    <phoneticPr fontId="10" type="noConversion"/>
  </si>
  <si>
    <t>Facilities</t>
    <phoneticPr fontId="10" type="noConversion"/>
  </si>
  <si>
    <t>Battle System</t>
    <phoneticPr fontId="10" type="noConversion"/>
  </si>
  <si>
    <t>Value</t>
    <phoneticPr fontId="10" type="noConversion"/>
  </si>
  <si>
    <t>IncSiz</t>
    <phoneticPr fontId="10" type="noConversion"/>
  </si>
  <si>
    <t>EneIne</t>
    <phoneticPr fontId="10" type="noConversion"/>
  </si>
  <si>
    <t>EM Shielding</t>
    <phoneticPr fontId="10" type="noConversion"/>
  </si>
  <si>
    <t>D</t>
    <phoneticPr fontId="10" type="noConversion"/>
  </si>
  <si>
    <t>E</t>
    <phoneticPr fontId="10" type="noConversion"/>
  </si>
  <si>
    <t>Fuel Efficient</t>
    <phoneticPr fontId="10" type="noConversion"/>
  </si>
  <si>
    <t>Fuel Inefficient</t>
  </si>
  <si>
    <t>Orbital Range (2) *</t>
    <phoneticPr fontId="10" type="noConversion"/>
  </si>
  <si>
    <t>Repeatable</t>
    <phoneticPr fontId="10" type="noConversion"/>
  </si>
  <si>
    <t>Mid</t>
    <phoneticPr fontId="10" type="noConversion"/>
  </si>
  <si>
    <t>Range</t>
    <phoneticPr fontId="10" type="noConversion"/>
  </si>
  <si>
    <t>5D</t>
    <phoneticPr fontId="10" type="noConversion"/>
  </si>
  <si>
    <t>Detachable</t>
    <phoneticPr fontId="10" type="noConversion"/>
  </si>
  <si>
    <t>Bonded Superdense</t>
    <phoneticPr fontId="10" type="noConversion"/>
  </si>
  <si>
    <t>Civilian</t>
    <phoneticPr fontId="10" type="noConversion"/>
  </si>
  <si>
    <t>Missile</t>
  </si>
  <si>
    <t>Mixed Turret</t>
    <phoneticPr fontId="10" type="noConversion"/>
  </si>
  <si>
    <t>Working</t>
    <phoneticPr fontId="10" type="noConversion"/>
  </si>
  <si>
    <t>carried craft</t>
    <phoneticPr fontId="12" type="noConversion"/>
  </si>
  <si>
    <t>ten</t>
    <phoneticPr fontId="10" type="noConversion"/>
  </si>
  <si>
    <t>Advanced</t>
    <phoneticPr fontId="10" type="noConversion"/>
  </si>
  <si>
    <t>Single</t>
    <phoneticPr fontId="10" type="noConversion"/>
  </si>
  <si>
    <t>Repair Drones</t>
    <phoneticPr fontId="10" type="noConversion"/>
  </si>
  <si>
    <t>Armour(Laser)+3</t>
    <phoneticPr fontId="10" type="noConversion"/>
  </si>
  <si>
    <t>Type</t>
    <phoneticPr fontId="10" type="noConversion"/>
  </si>
  <si>
    <t>None</t>
    <phoneticPr fontId="10" type="noConversion"/>
  </si>
  <si>
    <t>ATV</t>
    <phoneticPr fontId="10" type="noConversion"/>
  </si>
  <si>
    <t>AFV</t>
    <phoneticPr fontId="10" type="noConversion"/>
  </si>
  <si>
    <t>Budget</t>
    <phoneticPr fontId="10" type="noConversion"/>
  </si>
  <si>
    <t>Grav Screen</t>
    <phoneticPr fontId="10" type="noConversion"/>
  </si>
  <si>
    <t>Orbital</t>
    <phoneticPr fontId="10" type="noConversion"/>
  </si>
  <si>
    <t>100D</t>
    <phoneticPr fontId="10" type="noConversion"/>
  </si>
  <si>
    <t>Revenue / Jump</t>
    <phoneticPr fontId="10" type="noConversion"/>
  </si>
  <si>
    <t>Torpedo</t>
    <phoneticPr fontId="10" type="noConversion"/>
  </si>
  <si>
    <t>In cargo hold</t>
    <phoneticPr fontId="10" type="noConversion"/>
  </si>
  <si>
    <t>Capsules Needed</t>
    <phoneticPr fontId="10" type="noConversion"/>
  </si>
  <si>
    <t>Power Fuel Tank</t>
    <phoneticPr fontId="10" type="noConversion"/>
  </si>
  <si>
    <t>People:</t>
    <phoneticPr fontId="10" type="noConversion"/>
  </si>
  <si>
    <t xml:space="preserve">    +Holographic Controls</t>
    <phoneticPr fontId="10" type="noConversion"/>
  </si>
  <si>
    <t>Hull Only</t>
    <phoneticPr fontId="10" type="noConversion"/>
  </si>
  <si>
    <t>Low</t>
    <phoneticPr fontId="10" type="noConversion"/>
  </si>
  <si>
    <t>Reaction D</t>
    <phoneticPr fontId="10" type="noConversion"/>
  </si>
  <si>
    <t>Medium</t>
    <phoneticPr fontId="10" type="noConversion"/>
  </si>
  <si>
    <t>Jump Fuel / Cargo Container</t>
    <phoneticPr fontId="10" type="noConversion"/>
  </si>
  <si>
    <t>s</t>
    <phoneticPr fontId="12" type="noConversion"/>
  </si>
  <si>
    <t>Extra staterooms</t>
    <phoneticPr fontId="10" type="noConversion"/>
  </si>
  <si>
    <t>Forced Linkage</t>
    <phoneticPr fontId="10" type="noConversion"/>
  </si>
  <si>
    <t>Auto 2</t>
    <phoneticPr fontId="10" type="noConversion"/>
  </si>
  <si>
    <t>2DD</t>
    <phoneticPr fontId="10" type="noConversion"/>
  </si>
  <si>
    <t>Hvy Autocannon</t>
    <phoneticPr fontId="10" type="noConversion"/>
  </si>
  <si>
    <t>varies</t>
    <phoneticPr fontId="10" type="noConversion"/>
  </si>
  <si>
    <t>Launched</t>
    <phoneticPr fontId="10" type="noConversion"/>
  </si>
  <si>
    <t>PD</t>
    <phoneticPr fontId="10" type="noConversion"/>
  </si>
  <si>
    <t>Pop-up</t>
    <phoneticPr fontId="10" type="noConversion"/>
  </si>
  <si>
    <t>Software</t>
    <phoneticPr fontId="10" type="noConversion"/>
  </si>
  <si>
    <t>Loading Belt</t>
    <phoneticPr fontId="10" type="noConversion"/>
  </si>
  <si>
    <t>Probe Drones</t>
    <phoneticPr fontId="10" type="noConversion"/>
  </si>
  <si>
    <t>Earthquake Bomb</t>
    <phoneticPr fontId="10" type="noConversion"/>
  </si>
  <si>
    <t>Blast, Rad</t>
    <phoneticPr fontId="10" type="noConversion"/>
  </si>
  <si>
    <t>Cost</t>
    <phoneticPr fontId="10" type="noConversion"/>
  </si>
  <si>
    <t>PD Torp</t>
    <phoneticPr fontId="10" type="noConversion"/>
  </si>
  <si>
    <t>AP10</t>
    <phoneticPr fontId="10" type="noConversion"/>
  </si>
  <si>
    <t>A</t>
    <phoneticPr fontId="10" type="noConversion"/>
  </si>
  <si>
    <t>Acceleration Seat</t>
    <phoneticPr fontId="10" type="noConversion"/>
  </si>
  <si>
    <t>Cabin Space</t>
    <phoneticPr fontId="10" type="noConversion"/>
  </si>
  <si>
    <t>Special</t>
    <phoneticPr fontId="10" type="noConversion"/>
  </si>
  <si>
    <t>Crew</t>
    <phoneticPr fontId="10" type="noConversion"/>
  </si>
  <si>
    <t>Stealth2</t>
    <phoneticPr fontId="10" type="noConversion"/>
  </si>
  <si>
    <t>Struct</t>
    <phoneticPr fontId="10" type="noConversion"/>
  </si>
  <si>
    <t>Very Long</t>
    <phoneticPr fontId="10" type="noConversion"/>
  </si>
  <si>
    <t>Cargo Net</t>
    <phoneticPr fontId="10" type="noConversion"/>
  </si>
  <si>
    <t>Special Sensors</t>
    <phoneticPr fontId="10" type="noConversion"/>
  </si>
  <si>
    <t>Man Dis</t>
    <phoneticPr fontId="10" type="noConversion"/>
  </si>
  <si>
    <t>Reac Once</t>
    <phoneticPr fontId="10" type="noConversion"/>
  </si>
  <si>
    <t>Cost</t>
    <phoneticPr fontId="10" type="noConversion"/>
  </si>
  <si>
    <t>Power</t>
    <phoneticPr fontId="10" type="noConversion"/>
  </si>
  <si>
    <t>Dton</t>
    <phoneticPr fontId="10" type="noConversion"/>
  </si>
  <si>
    <t>Pulse Laser</t>
  </si>
  <si>
    <t>3D</t>
    <phoneticPr fontId="10" type="noConversion"/>
  </si>
  <si>
    <t>Medium</t>
    <phoneticPr fontId="10" type="noConversion"/>
  </si>
  <si>
    <t>7D</t>
    <phoneticPr fontId="10" type="noConversion"/>
  </si>
  <si>
    <t>D3</t>
    <phoneticPr fontId="10" type="noConversion"/>
  </si>
  <si>
    <t>Orb Strike</t>
    <phoneticPr fontId="10" type="noConversion"/>
  </si>
  <si>
    <t>Particle</t>
    <phoneticPr fontId="10" type="noConversion"/>
  </si>
  <si>
    <t>Stealth DM-4-∆TL</t>
    <phoneticPr fontId="10" type="noConversion"/>
  </si>
  <si>
    <t>Auto 6</t>
    <phoneticPr fontId="10" type="noConversion"/>
  </si>
  <si>
    <t>Military</t>
    <phoneticPr fontId="10" type="noConversion"/>
  </si>
  <si>
    <t>Acceleration Bench, Foldable</t>
    <phoneticPr fontId="10" type="noConversion"/>
  </si>
  <si>
    <t>Signal Processing</t>
    <phoneticPr fontId="10" type="noConversion"/>
  </si>
  <si>
    <t>Advanced</t>
    <phoneticPr fontId="10" type="noConversion"/>
  </si>
  <si>
    <t>Mail Relay</t>
    <phoneticPr fontId="10" type="noConversion"/>
  </si>
  <si>
    <t>JumpD</t>
    <phoneticPr fontId="10" type="noConversion"/>
  </si>
  <si>
    <t>F</t>
    <phoneticPr fontId="10" type="noConversion"/>
  </si>
  <si>
    <t>Power Plant, Fusion</t>
    <phoneticPr fontId="10" type="noConversion"/>
  </si>
  <si>
    <t>Partial</t>
    <phoneticPr fontId="10" type="noConversion"/>
  </si>
  <si>
    <t>aeiouy</t>
  </si>
  <si>
    <t>Auto 6</t>
    <phoneticPr fontId="10" type="noConversion"/>
  </si>
  <si>
    <t>/fib</t>
    <phoneticPr fontId="10" type="noConversion"/>
  </si>
  <si>
    <t>None</t>
    <phoneticPr fontId="10" type="noConversion"/>
  </si>
  <si>
    <t xml:space="preserve">    Astrogator</t>
    <phoneticPr fontId="10" type="noConversion"/>
  </si>
  <si>
    <t>Mass Driver</t>
    <phoneticPr fontId="10" type="noConversion"/>
  </si>
  <si>
    <t>Particle *</t>
    <phoneticPr fontId="10" type="noConversion"/>
  </si>
  <si>
    <t>Rapid Extension</t>
    <phoneticPr fontId="10" type="noConversion"/>
  </si>
  <si>
    <t>Missile</t>
    <phoneticPr fontId="10" type="noConversion"/>
  </si>
  <si>
    <t>Launch Tube</t>
    <phoneticPr fontId="10" type="noConversion"/>
  </si>
  <si>
    <t>3D</t>
    <phoneticPr fontId="10" type="noConversion"/>
  </si>
  <si>
    <t>Year MCr</t>
    <phoneticPr fontId="10" type="noConversion"/>
  </si>
  <si>
    <t>Jump</t>
    <phoneticPr fontId="10" type="noConversion"/>
  </si>
  <si>
    <t>8D</t>
    <phoneticPr fontId="10" type="noConversion"/>
  </si>
  <si>
    <t>Autodoc</t>
    <phoneticPr fontId="10" type="noConversion"/>
  </si>
  <si>
    <t>External Load</t>
    <phoneticPr fontId="10" type="noConversion"/>
  </si>
  <si>
    <t>Tachyon</t>
    <phoneticPr fontId="10" type="noConversion"/>
  </si>
  <si>
    <t>Rating</t>
    <phoneticPr fontId="10" type="noConversion"/>
  </si>
  <si>
    <t>B</t>
    <phoneticPr fontId="10" type="noConversion"/>
  </si>
  <si>
    <t>eleven</t>
    <phoneticPr fontId="10" type="noConversion"/>
  </si>
  <si>
    <t>Fusion</t>
    <phoneticPr fontId="10" type="noConversion"/>
  </si>
  <si>
    <t>Type V, &gt;2000 dT</t>
    <phoneticPr fontId="10" type="noConversion"/>
  </si>
  <si>
    <t>Point Defence</t>
    <phoneticPr fontId="10" type="noConversion"/>
  </si>
  <si>
    <t>Grav</t>
    <phoneticPr fontId="10" type="noConversion"/>
  </si>
  <si>
    <t>AP∞, Rad</t>
  </si>
  <si>
    <t>Hvy Missile</t>
    <phoneticPr fontId="10" type="noConversion"/>
  </si>
  <si>
    <t>Standard</t>
    <phoneticPr fontId="10" type="noConversion"/>
  </si>
  <si>
    <t>G</t>
    <phoneticPr fontId="10" type="noConversion"/>
  </si>
  <si>
    <t>H</t>
    <phoneticPr fontId="10" type="noConversion"/>
  </si>
  <si>
    <t>J</t>
    <phoneticPr fontId="10" type="noConversion"/>
  </si>
  <si>
    <t>Standard</t>
    <phoneticPr fontId="10" type="noConversion"/>
  </si>
  <si>
    <t>1DD, Auto 3</t>
    <phoneticPr fontId="10" type="noConversion"/>
  </si>
  <si>
    <t>Plasma</t>
    <phoneticPr fontId="10" type="noConversion"/>
  </si>
  <si>
    <t>ToHit-3</t>
    <phoneticPr fontId="10" type="noConversion"/>
  </si>
  <si>
    <t>Requires 5 skill levels in max 4 persons.</t>
    <phoneticPr fontId="10" type="noConversion"/>
  </si>
  <si>
    <t>Adjacent</t>
    <phoneticPr fontId="10" type="noConversion"/>
  </si>
  <si>
    <t>3DD, Blast 30</t>
    <phoneticPr fontId="10" type="noConversion"/>
  </si>
  <si>
    <t>1DD</t>
    <phoneticPr fontId="10" type="noConversion"/>
  </si>
  <si>
    <t>Small Bay</t>
    <phoneticPr fontId="10" type="noConversion"/>
  </si>
  <si>
    <t>Crew</t>
    <phoneticPr fontId="10" type="noConversion"/>
  </si>
  <si>
    <t>Type IV, 2000 dT</t>
    <phoneticPr fontId="10" type="noConversion"/>
  </si>
  <si>
    <t>Passage &amp; Freght</t>
    <phoneticPr fontId="10" type="noConversion"/>
  </si>
  <si>
    <t>Armoured Bulkheads</t>
    <phoneticPr fontId="10" type="noConversion"/>
  </si>
  <si>
    <t>Jump Control</t>
    <phoneticPr fontId="10" type="noConversion"/>
  </si>
  <si>
    <t>ManœuvreD</t>
  </si>
  <si>
    <t>None</t>
  </si>
  <si>
    <t>Type I, 1D</t>
  </si>
  <si>
    <t>Broad Spectrum EW</t>
    <phoneticPr fontId="10" type="noConversion"/>
  </si>
  <si>
    <t>Point Defence</t>
    <phoneticPr fontId="10" type="noConversion"/>
  </si>
  <si>
    <t>Red/Inc Size</t>
    <phoneticPr fontId="10" type="noConversion"/>
  </si>
  <si>
    <t>Rounds incl</t>
    <phoneticPr fontId="10" type="noConversion"/>
  </si>
  <si>
    <t>Missiles</t>
  </si>
  <si>
    <t>Smaller Weapons</t>
    <phoneticPr fontId="10" type="noConversion"/>
  </si>
  <si>
    <t>Yearly yield on down payment</t>
    <phoneticPr fontId="10" type="noConversion"/>
  </si>
  <si>
    <t>Modular Cutter</t>
    <phoneticPr fontId="10" type="noConversion"/>
  </si>
  <si>
    <t>Type III, 300 dT</t>
    <phoneticPr fontId="10" type="noConversion"/>
  </si>
  <si>
    <t>Life Scanner Analysis Suite</t>
    <phoneticPr fontId="10" type="noConversion"/>
  </si>
  <si>
    <t>#Wpns</t>
    <phoneticPr fontId="10" type="noConversion"/>
  </si>
  <si>
    <t>2D</t>
    <phoneticPr fontId="10" type="noConversion"/>
  </si>
  <si>
    <t>Brig</t>
    <phoneticPr fontId="10" type="noConversion"/>
  </si>
  <si>
    <t>Drop Tanks</t>
    <phoneticPr fontId="10" type="noConversion"/>
  </si>
  <si>
    <t>ArmourMod</t>
    <phoneticPr fontId="10" type="noConversion"/>
  </si>
  <si>
    <t>Hull strength</t>
    <phoneticPr fontId="10" type="noConversion"/>
  </si>
  <si>
    <t>Vehicles</t>
    <phoneticPr fontId="12" type="noConversion"/>
  </si>
  <si>
    <t>Berthing, average</t>
    <phoneticPr fontId="10" type="noConversion"/>
  </si>
  <si>
    <t>Salaries</t>
    <phoneticPr fontId="10" type="noConversion"/>
  </si>
  <si>
    <t>Cost</t>
    <phoneticPr fontId="10" type="noConversion"/>
  </si>
  <si>
    <t>Text</t>
    <phoneticPr fontId="10" type="noConversion"/>
  </si>
  <si>
    <t>Energy Shield</t>
    <phoneticPr fontId="10" type="noConversion"/>
  </si>
  <si>
    <t>/bis/fib</t>
    <phoneticPr fontId="10" type="noConversion"/>
  </si>
  <si>
    <t>Imp Deep Space Comm Relay</t>
    <phoneticPr fontId="10" type="noConversion"/>
  </si>
  <si>
    <t>PD Miss</t>
    <phoneticPr fontId="10" type="noConversion"/>
  </si>
  <si>
    <t>/bis</t>
    <phoneticPr fontId="10" type="noConversion"/>
  </si>
  <si>
    <t>2DD</t>
    <phoneticPr fontId="10" type="noConversion"/>
  </si>
  <si>
    <t>4D</t>
    <phoneticPr fontId="10" type="noConversion"/>
  </si>
  <si>
    <t>6D</t>
    <phoneticPr fontId="10" type="noConversion"/>
  </si>
  <si>
    <t>Virtual Gunner</t>
    <phoneticPr fontId="10" type="noConversion"/>
  </si>
  <si>
    <t>Stealth</t>
    <phoneticPr fontId="10" type="noConversion"/>
  </si>
  <si>
    <t>DecFue</t>
    <phoneticPr fontId="10" type="noConversion"/>
  </si>
  <si>
    <t>Fusion *</t>
    <phoneticPr fontId="10" type="noConversion"/>
  </si>
  <si>
    <t>Late</t>
    <phoneticPr fontId="10" type="noConversion"/>
  </si>
  <si>
    <t>RedSiz</t>
    <phoneticPr fontId="10" type="noConversion"/>
  </si>
  <si>
    <t>EneEff</t>
    <phoneticPr fontId="10" type="noConversion"/>
  </si>
  <si>
    <t>#Adv</t>
    <phoneticPr fontId="10" type="noConversion"/>
  </si>
  <si>
    <t>In any section</t>
    <phoneticPr fontId="10" type="noConversion"/>
  </si>
  <si>
    <t>Pod (external)</t>
    <phoneticPr fontId="10" type="noConversion"/>
  </si>
  <si>
    <t>Pods</t>
    <phoneticPr fontId="10" type="noConversion"/>
  </si>
  <si>
    <t>Early</t>
    <phoneticPr fontId="10" type="noConversion"/>
  </si>
  <si>
    <t>Gauss Cannon</t>
    <phoneticPr fontId="10" type="noConversion"/>
  </si>
  <si>
    <t>Ion</t>
    <phoneticPr fontId="10" type="noConversion"/>
  </si>
  <si>
    <t>Residential Zone: High</t>
    <phoneticPr fontId="10" type="noConversion"/>
  </si>
  <si>
    <t>Residential Zone: Luxury</t>
    <phoneticPr fontId="10" type="noConversion"/>
  </si>
  <si>
    <t>Commercial Zone</t>
    <phoneticPr fontId="10" type="noConversion"/>
  </si>
  <si>
    <t>Concealed Fuel Tank Conpartment</t>
    <phoneticPr fontId="10" type="noConversion"/>
  </si>
  <si>
    <t>Note</t>
    <phoneticPr fontId="10" type="noConversion"/>
  </si>
  <si>
    <t>Heat Shielding</t>
    <phoneticPr fontId="10" type="noConversion"/>
  </si>
  <si>
    <t>Armoury</t>
    <phoneticPr fontId="10" type="noConversion"/>
  </si>
  <si>
    <t>U</t>
    <phoneticPr fontId="10" type="noConversion"/>
  </si>
  <si>
    <t>V</t>
    <phoneticPr fontId="10" type="noConversion"/>
  </si>
  <si>
    <t>Hangar</t>
    <phoneticPr fontId="10" type="noConversion"/>
  </si>
  <si>
    <t>two</t>
    <phoneticPr fontId="10" type="noConversion"/>
  </si>
  <si>
    <t>three</t>
    <phoneticPr fontId="10" type="noConversion"/>
  </si>
  <si>
    <t>Particle</t>
    <phoneticPr fontId="10" type="noConversion"/>
  </si>
  <si>
    <t>#</t>
    <phoneticPr fontId="10" type="noConversion"/>
  </si>
  <si>
    <t>Lt Autocannon</t>
    <phoneticPr fontId="10" type="noConversion"/>
  </si>
  <si>
    <t>Middle</t>
    <phoneticPr fontId="10" type="noConversion"/>
  </si>
  <si>
    <t>s</t>
    <phoneticPr fontId="12" type="noConversion"/>
  </si>
  <si>
    <t>Escape Needed</t>
    <phoneticPr fontId="10" type="noConversion"/>
  </si>
  <si>
    <t>Life Boats</t>
    <phoneticPr fontId="10" type="noConversion"/>
  </si>
  <si>
    <t>Double Hull</t>
    <phoneticPr fontId="10" type="noConversion"/>
  </si>
  <si>
    <t>Array</t>
    <phoneticPr fontId="10" type="noConversion"/>
  </si>
  <si>
    <t>N</t>
    <phoneticPr fontId="10" type="noConversion"/>
  </si>
  <si>
    <t>Troop Training Facility</t>
    <phoneticPr fontId="10" type="noConversion"/>
  </si>
  <si>
    <t>Vault</t>
    <phoneticPr fontId="10" type="noConversion"/>
  </si>
  <si>
    <t>Cost</t>
    <phoneticPr fontId="10" type="noConversion"/>
  </si>
  <si>
    <t>6D</t>
    <phoneticPr fontId="10" type="noConversion"/>
  </si>
  <si>
    <t>6D*10</t>
    <phoneticPr fontId="10" type="noConversion"/>
  </si>
  <si>
    <t>GCarrier</t>
    <phoneticPr fontId="10" type="noConversion"/>
  </si>
  <si>
    <t>Flight</t>
    <phoneticPr fontId="10" type="noConversion"/>
  </si>
  <si>
    <t>1DD</t>
    <phoneticPr fontId="10" type="noConversion"/>
  </si>
  <si>
    <t>Turret</t>
    <phoneticPr fontId="10" type="noConversion"/>
  </si>
  <si>
    <t>#</t>
    <phoneticPr fontId="10" type="noConversion"/>
  </si>
  <si>
    <t>Crew</t>
    <phoneticPr fontId="10" type="noConversion"/>
  </si>
  <si>
    <t>Ground car</t>
    <phoneticPr fontId="10" type="noConversion"/>
  </si>
  <si>
    <t>Advantages</t>
    <phoneticPr fontId="10" type="noConversion"/>
  </si>
  <si>
    <t>Station</t>
    <phoneticPr fontId="10" type="noConversion"/>
  </si>
  <si>
    <t>Telepathy, Clairvoyance</t>
    <phoneticPr fontId="10" type="noConversion"/>
  </si>
  <si>
    <t>Selected</t>
    <phoneticPr fontId="10" type="noConversion"/>
  </si>
  <si>
    <t>3DD</t>
    <phoneticPr fontId="10" type="noConversion"/>
  </si>
  <si>
    <t>Rotary HMG</t>
    <phoneticPr fontId="10" type="noConversion"/>
  </si>
  <si>
    <t>Rotary Lt Autocannon</t>
    <phoneticPr fontId="10" type="noConversion"/>
  </si>
  <si>
    <t>3DD, Blast, Rad</t>
    <phoneticPr fontId="10" type="noConversion"/>
  </si>
  <si>
    <t>Ene Eff/Ineff</t>
    <phoneticPr fontId="10" type="noConversion"/>
  </si>
  <si>
    <t>1 Power / bay</t>
    <phoneticPr fontId="10" type="noConversion"/>
  </si>
  <si>
    <t>Radiation</t>
    <phoneticPr fontId="10" type="noConversion"/>
  </si>
  <si>
    <t>React. Demountable</t>
    <phoneticPr fontId="10" type="noConversion"/>
  </si>
  <si>
    <t>Screen Optimiser</t>
    <phoneticPr fontId="10" type="noConversion"/>
  </si>
  <si>
    <t>Planetoid</t>
    <phoneticPr fontId="10" type="noConversion"/>
  </si>
  <si>
    <t>Close Structure</t>
    <phoneticPr fontId="10" type="noConversion"/>
  </si>
  <si>
    <t>L</t>
    <phoneticPr fontId="10" type="noConversion"/>
  </si>
  <si>
    <t>M</t>
    <phoneticPr fontId="10" type="noConversion"/>
  </si>
  <si>
    <t>Streamlined</t>
    <phoneticPr fontId="10" type="noConversion"/>
  </si>
  <si>
    <t>dTon</t>
  </si>
  <si>
    <t>Cost</t>
  </si>
  <si>
    <t>T</t>
    <phoneticPr fontId="10" type="noConversion"/>
  </si>
  <si>
    <t>Adv Mail Distribution Suite</t>
    <phoneticPr fontId="10" type="noConversion"/>
  </si>
  <si>
    <t>Reac Adv</t>
    <phoneticPr fontId="10" type="noConversion"/>
  </si>
  <si>
    <t>Mass Driver</t>
    <phoneticPr fontId="10" type="noConversion"/>
  </si>
  <si>
    <t>Short</t>
    <phoneticPr fontId="10" type="noConversion"/>
  </si>
  <si>
    <t>Orb Bomb</t>
    <phoneticPr fontId="10" type="noConversion"/>
  </si>
  <si>
    <t>Sensors</t>
    <phoneticPr fontId="10" type="noConversion"/>
  </si>
  <si>
    <t>Torpedoes</t>
    <phoneticPr fontId="10" type="noConversion"/>
  </si>
  <si>
    <t>Torpedoes</t>
  </si>
  <si>
    <t>officer</t>
    <phoneticPr fontId="12" type="noConversion"/>
  </si>
  <si>
    <t>pilot</t>
    <phoneticPr fontId="12" type="noConversion"/>
  </si>
  <si>
    <t>Type II, 99 dT</t>
    <phoneticPr fontId="10" type="noConversion"/>
  </si>
  <si>
    <t>Orbital Strike Missile</t>
    <phoneticPr fontId="10" type="noConversion"/>
  </si>
  <si>
    <t>Short</t>
    <phoneticPr fontId="10" type="noConversion"/>
  </si>
  <si>
    <t>Meson Gun</t>
    <phoneticPr fontId="10" type="noConversion"/>
  </si>
  <si>
    <t>CORE</t>
    <phoneticPr fontId="10" type="noConversion"/>
  </si>
  <si>
    <t>∆ TL</t>
    <phoneticPr fontId="10" type="noConversion"/>
  </si>
  <si>
    <t>service crew</t>
    <phoneticPr fontId="12" type="noConversion"/>
  </si>
  <si>
    <t>specialist</t>
    <phoneticPr fontId="12" type="noConversion"/>
  </si>
  <si>
    <t>TL</t>
    <phoneticPr fontId="10" type="noConversion"/>
  </si>
  <si>
    <t>Hull Options</t>
    <phoneticPr fontId="10" type="noConversion"/>
  </si>
  <si>
    <t>Reflec</t>
  </si>
  <si>
    <t>Reflec</t>
    <phoneticPr fontId="10" type="noConversion"/>
  </si>
  <si>
    <t>Cost</t>
    <phoneticPr fontId="10" type="noConversion"/>
  </si>
  <si>
    <t>astrogator</t>
    <phoneticPr fontId="12" type="noConversion"/>
  </si>
  <si>
    <t>Mortgage</t>
    <phoneticPr fontId="10" type="noConversion"/>
  </si>
  <si>
    <t>Docking Space</t>
    <phoneticPr fontId="10" type="noConversion"/>
  </si>
  <si>
    <t>Docking Clamp</t>
    <phoneticPr fontId="10" type="noConversion"/>
  </si>
  <si>
    <t>Mid</t>
    <phoneticPr fontId="10" type="noConversion"/>
  </si>
  <si>
    <t>External Load</t>
    <phoneticPr fontId="10" type="noConversion"/>
  </si>
  <si>
    <t>Particle Accellerator</t>
    <phoneticPr fontId="10" type="noConversion"/>
  </si>
  <si>
    <t>Life Boat Capable</t>
    <phoneticPr fontId="10" type="noConversion"/>
  </si>
  <si>
    <t>Life Boat?</t>
    <phoneticPr fontId="10" type="noConversion"/>
  </si>
  <si>
    <t>engineer</t>
    <phoneticPr fontId="12" type="noConversion"/>
  </si>
  <si>
    <t>Blast, Smart</t>
    <phoneticPr fontId="10" type="noConversion"/>
  </si>
  <si>
    <t>Gen Ammo</t>
  </si>
  <si>
    <t>Mine</t>
    <phoneticPr fontId="10" type="noConversion"/>
  </si>
  <si>
    <t>Bandwidth</t>
    <phoneticPr fontId="10" type="noConversion"/>
  </si>
  <si>
    <t>Staterooms, Luxury</t>
    <phoneticPr fontId="10" type="noConversion"/>
  </si>
  <si>
    <t>Jump Filter (+5 BW)</t>
    <phoneticPr fontId="10" type="noConversion"/>
  </si>
  <si>
    <t>Psi Shielding</t>
    <phoneticPr fontId="10" type="noConversion"/>
  </si>
  <si>
    <t>Drop Tanks</t>
    <phoneticPr fontId="10" type="noConversion"/>
  </si>
  <si>
    <t>eight</t>
    <phoneticPr fontId="10" type="noConversion"/>
  </si>
  <si>
    <t>Hvy Gauss Cannon</t>
    <phoneticPr fontId="10" type="noConversion"/>
  </si>
  <si>
    <t>Max</t>
    <phoneticPr fontId="10" type="noConversion"/>
  </si>
  <si>
    <t>None</t>
    <phoneticPr fontId="10" type="noConversion"/>
  </si>
  <si>
    <t>TL</t>
    <phoneticPr fontId="10" type="noConversion"/>
  </si>
  <si>
    <t>kCr</t>
    <phoneticPr fontId="10" type="noConversion"/>
  </si>
  <si>
    <t>Workshop</t>
    <phoneticPr fontId="10" type="noConversion"/>
  </si>
  <si>
    <t>W</t>
    <phoneticPr fontId="10" type="noConversion"/>
  </si>
  <si>
    <t>1000 rad</t>
    <phoneticPr fontId="10" type="noConversion"/>
  </si>
  <si>
    <t xml:space="preserve">Blocks densitometers </t>
    <phoneticPr fontId="10" type="noConversion"/>
  </si>
  <si>
    <t>Heavy Grappling Arms</t>
    <phoneticPr fontId="10" type="noConversion"/>
  </si>
  <si>
    <t>Total Boat Tonnage</t>
    <phoneticPr fontId="10" type="noConversion"/>
  </si>
  <si>
    <t>TL</t>
    <phoneticPr fontId="10" type="noConversion"/>
  </si>
  <si>
    <t>Prototype</t>
    <phoneticPr fontId="10" type="noConversion"/>
  </si>
  <si>
    <t>Low</t>
    <phoneticPr fontId="10" type="noConversion"/>
  </si>
  <si>
    <t>Deflector</t>
    <phoneticPr fontId="10" type="noConversion"/>
  </si>
  <si>
    <t>Comment</t>
    <phoneticPr fontId="10" type="noConversion"/>
  </si>
  <si>
    <t>Power</t>
  </si>
  <si>
    <t>Low</t>
    <phoneticPr fontId="10" type="noConversion"/>
  </si>
  <si>
    <t>Artificial Gravity</t>
    <phoneticPr fontId="10" type="noConversion"/>
  </si>
  <si>
    <t>Facilities</t>
    <phoneticPr fontId="12" type="noConversion"/>
  </si>
  <si>
    <t>TL</t>
    <phoneticPr fontId="10" type="noConversion"/>
  </si>
  <si>
    <t>Rad Shielding</t>
    <phoneticPr fontId="10" type="noConversion"/>
  </si>
  <si>
    <t>4DD, AP∞, Rad</t>
    <phoneticPr fontId="10" type="noConversion"/>
  </si>
  <si>
    <t>Grav Analysis Suite</t>
    <phoneticPr fontId="10" type="noConversion"/>
  </si>
  <si>
    <t>Barbette</t>
    <phoneticPr fontId="10" type="noConversion"/>
  </si>
  <si>
    <t>Launch Solution</t>
    <phoneticPr fontId="10" type="noConversion"/>
  </si>
  <si>
    <t>Shallow Penetration Suite</t>
    <phoneticPr fontId="10" type="noConversion"/>
  </si>
  <si>
    <t>Mail Distribution Array</t>
    <phoneticPr fontId="10" type="noConversion"/>
  </si>
  <si>
    <t>Comp</t>
    <phoneticPr fontId="10" type="noConversion"/>
  </si>
  <si>
    <t>Bridge Cost</t>
    <phoneticPr fontId="10" type="noConversion"/>
  </si>
  <si>
    <t>bridge</t>
    <phoneticPr fontId="12" type="noConversion"/>
  </si>
  <si>
    <t>Sensor</t>
    <phoneticPr fontId="10" type="noConversion"/>
  </si>
  <si>
    <t>Name</t>
    <phoneticPr fontId="10" type="noConversion"/>
  </si>
  <si>
    <t>Luxury stateroom</t>
    <phoneticPr fontId="10" type="noConversion"/>
  </si>
  <si>
    <t>High Stateroom</t>
    <phoneticPr fontId="10" type="noConversion"/>
  </si>
  <si>
    <t>Pinnace</t>
    <phoneticPr fontId="10" type="noConversion"/>
  </si>
  <si>
    <t>2DD</t>
    <phoneticPr fontId="10" type="noConversion"/>
  </si>
  <si>
    <t>Stateroom</t>
    <phoneticPr fontId="10" type="noConversion"/>
  </si>
  <si>
    <t>Low Berths</t>
    <phoneticPr fontId="10" type="noConversion"/>
  </si>
  <si>
    <t>Common Areas</t>
    <phoneticPr fontId="10" type="noConversion"/>
  </si>
  <si>
    <t>Common Areas</t>
    <phoneticPr fontId="10" type="noConversion"/>
  </si>
  <si>
    <t>Escape Capsule</t>
    <phoneticPr fontId="10" type="noConversion"/>
  </si>
  <si>
    <t>Basic</t>
    <phoneticPr fontId="10" type="noConversion"/>
  </si>
  <si>
    <t>Slow Pinnace</t>
    <phoneticPr fontId="10" type="noConversion"/>
  </si>
  <si>
    <t>Armour</t>
    <phoneticPr fontId="10" type="noConversion"/>
  </si>
  <si>
    <t>8D</t>
    <phoneticPr fontId="10" type="noConversion"/>
  </si>
  <si>
    <t>Short</t>
    <phoneticPr fontId="10" type="noConversion"/>
  </si>
  <si>
    <t>External Load</t>
    <phoneticPr fontId="10" type="noConversion"/>
  </si>
  <si>
    <t>ToHit+4</t>
    <phoneticPr fontId="10" type="noConversion"/>
  </si>
  <si>
    <t>Blast 250</t>
    <phoneticPr fontId="10" type="noConversion"/>
  </si>
  <si>
    <t>Mineral Detection Suite</t>
    <phoneticPr fontId="10" type="noConversion"/>
  </si>
  <si>
    <t>6D, Auto 3</t>
    <phoneticPr fontId="10" type="noConversion"/>
  </si>
  <si>
    <t>Description</t>
    <phoneticPr fontId="12" type="noConversion"/>
  </si>
  <si>
    <t>Sphere</t>
    <phoneticPr fontId="10" type="noConversion"/>
  </si>
  <si>
    <t>Partial</t>
    <phoneticPr fontId="10" type="noConversion"/>
  </si>
  <si>
    <t>Scoops</t>
    <phoneticPr fontId="10" type="noConversion"/>
  </si>
  <si>
    <t>Fuel Purification</t>
    <phoneticPr fontId="10" type="noConversion"/>
  </si>
  <si>
    <t>P</t>
    <phoneticPr fontId="10" type="noConversion"/>
  </si>
  <si>
    <t>troop</t>
    <phoneticPr fontId="12" type="noConversion"/>
  </si>
  <si>
    <t>facilities</t>
    <phoneticPr fontId="12" type="noConversion"/>
  </si>
  <si>
    <t>s</t>
    <phoneticPr fontId="12" type="noConversion"/>
  </si>
  <si>
    <t>Sandcaster</t>
    <phoneticPr fontId="10" type="noConversion"/>
  </si>
  <si>
    <t>Laser Drill</t>
    <phoneticPr fontId="10" type="noConversion"/>
  </si>
  <si>
    <t>Long</t>
    <phoneticPr fontId="10" type="noConversion"/>
  </si>
  <si>
    <t>Half:</t>
    <phoneticPr fontId="10" type="noConversion"/>
  </si>
  <si>
    <t>Detachable Bridge</t>
  </si>
  <si>
    <t>Small Bridge</t>
  </si>
  <si>
    <t>Small Detachable Bridge</t>
  </si>
  <si>
    <t>Sub-Command Centre</t>
  </si>
  <si>
    <t>Dual Cockpit</t>
  </si>
  <si>
    <t>Cockpit</t>
  </si>
  <si>
    <t>Sensor Workstation</t>
  </si>
  <si>
    <t>Power</t>
    <phoneticPr fontId="10" type="noConversion"/>
  </si>
  <si>
    <t>Damage</t>
    <phoneticPr fontId="10" type="noConversion"/>
  </si>
  <si>
    <t>Nuclear Damper</t>
    <phoneticPr fontId="10" type="noConversion"/>
  </si>
  <si>
    <t>Bridge</t>
    <phoneticPr fontId="10" type="noConversion"/>
  </si>
  <si>
    <t>6D</t>
    <phoneticPr fontId="10" type="noConversion"/>
  </si>
  <si>
    <t>Shipyard</t>
    <phoneticPr fontId="10" type="noConversion"/>
  </si>
  <si>
    <t>Generic Docking Facility</t>
    <phoneticPr fontId="10" type="noConversion"/>
  </si>
  <si>
    <t xml:space="preserve">    Admin</t>
    <phoneticPr fontId="10" type="noConversion"/>
  </si>
  <si>
    <t>Salaries</t>
    <phoneticPr fontId="10" type="noConversion"/>
  </si>
  <si>
    <t>Library</t>
  </si>
  <si>
    <t>Basic</t>
    <phoneticPr fontId="10" type="noConversion"/>
  </si>
  <si>
    <t>Jump (forum)</t>
    <phoneticPr fontId="10" type="noConversion"/>
  </si>
  <si>
    <t>Sandcaster</t>
  </si>
  <si>
    <t>Meson</t>
  </si>
  <si>
    <t>Meson</t>
    <phoneticPr fontId="10" type="noConversion"/>
  </si>
  <si>
    <t>Black Globe</t>
    <phoneticPr fontId="10" type="noConversion"/>
  </si>
  <si>
    <t>Air/raft</t>
    <phoneticPr fontId="10" type="noConversion"/>
  </si>
  <si>
    <t>Bulkheads</t>
    <phoneticPr fontId="10" type="noConversion"/>
  </si>
  <si>
    <t>Bridge</t>
    <phoneticPr fontId="10" type="noConversion"/>
  </si>
  <si>
    <t>Holographic</t>
    <phoneticPr fontId="10" type="noConversion"/>
  </si>
  <si>
    <t>Module for Cutter</t>
    <phoneticPr fontId="10" type="noConversion"/>
  </si>
  <si>
    <t>2DD, Auto 2</t>
    <phoneticPr fontId="10" type="noConversion"/>
  </si>
  <si>
    <t xml:space="preserve">    Engineer</t>
    <phoneticPr fontId="10" type="noConversion"/>
  </si>
  <si>
    <t>TL</t>
    <phoneticPr fontId="10" type="noConversion"/>
  </si>
  <si>
    <t>Plural</t>
    <phoneticPr fontId="10" type="noConversion"/>
  </si>
  <si>
    <t>Spun Hull Gravity Simulation</t>
    <phoneticPr fontId="10" type="noConversion"/>
  </si>
  <si>
    <t>Configuration</t>
    <phoneticPr fontId="10" type="noConversion"/>
  </si>
  <si>
    <t>Manœuvre D</t>
    <phoneticPr fontId="10" type="noConversion"/>
  </si>
  <si>
    <t>Cost Factor</t>
    <phoneticPr fontId="10" type="noConversion"/>
  </si>
  <si>
    <t>Computer Mod</t>
    <phoneticPr fontId="10" type="noConversion"/>
  </si>
  <si>
    <t>Standard</t>
    <phoneticPr fontId="10" type="noConversion"/>
  </si>
  <si>
    <t>flight crew</t>
    <phoneticPr fontId="12" type="noConversion"/>
  </si>
  <si>
    <t>Barbette</t>
    <phoneticPr fontId="10" type="noConversion"/>
  </si>
  <si>
    <t>Stable</t>
    <phoneticPr fontId="10" type="noConversion"/>
  </si>
  <si>
    <t xml:space="preserve">    Pilot</t>
    <phoneticPr fontId="10" type="noConversion"/>
  </si>
  <si>
    <t>Studio</t>
    <phoneticPr fontId="10" type="noConversion"/>
  </si>
  <si>
    <t>Concealed Compartment</t>
    <phoneticPr fontId="10" type="noConversion"/>
  </si>
  <si>
    <t>four</t>
    <phoneticPr fontId="10" type="noConversion"/>
  </si>
  <si>
    <t>Auto 3</t>
    <phoneticPr fontId="10" type="noConversion"/>
  </si>
  <si>
    <t>8D</t>
    <phoneticPr fontId="10" type="noConversion"/>
  </si>
  <si>
    <t>Arm</t>
    <phoneticPr fontId="10" type="noConversion"/>
  </si>
  <si>
    <t>Rad Shielding</t>
    <phoneticPr fontId="10" type="noConversion"/>
  </si>
  <si>
    <t>EM Shielding</t>
  </si>
  <si>
    <t># of Adv</t>
    <phoneticPr fontId="10" type="noConversion"/>
  </si>
  <si>
    <t>Briefing Rooms</t>
    <phoneticPr fontId="10" type="noConversion"/>
  </si>
  <si>
    <t>Libraries</t>
    <phoneticPr fontId="10" type="noConversion"/>
  </si>
  <si>
    <t>Laboratories</t>
    <phoneticPr fontId="10" type="noConversion"/>
  </si>
  <si>
    <t>Workshops</t>
    <phoneticPr fontId="10" type="noConversion"/>
  </si>
  <si>
    <t>Studios</t>
    <phoneticPr fontId="10" type="noConversion"/>
  </si>
  <si>
    <t>Dispersed</t>
    <phoneticPr fontId="10" type="noConversion"/>
  </si>
  <si>
    <t>∆TL</t>
    <phoneticPr fontId="10" type="noConversion"/>
  </si>
  <si>
    <t xml:space="preserve">    Maintenance</t>
    <phoneticPr fontId="10" type="noConversion"/>
  </si>
  <si>
    <t>Spinal</t>
    <phoneticPr fontId="10" type="noConversion"/>
  </si>
  <si>
    <t>Residential Zone: Low</t>
    <phoneticPr fontId="10" type="noConversion"/>
  </si>
  <si>
    <t>Residential Zone: Medium</t>
    <phoneticPr fontId="10" type="noConversion"/>
  </si>
  <si>
    <t>" tons of"</t>
    <phoneticPr fontId="10" type="noConversion"/>
  </si>
  <si>
    <t>Concealed Fuel Tank Conpartments</t>
    <phoneticPr fontId="10" type="noConversion"/>
  </si>
  <si>
    <t>Plural</t>
    <phoneticPr fontId="10" type="noConversion"/>
  </si>
  <si>
    <t>" tons of "</t>
    <phoneticPr fontId="10" type="noConversion"/>
  </si>
  <si>
    <t>Troop Training Facilities</t>
    <phoneticPr fontId="10" type="noConversion"/>
  </si>
  <si>
    <t>Freight</t>
    <phoneticPr fontId="10" type="noConversion"/>
  </si>
  <si>
    <t>gunner</t>
    <phoneticPr fontId="12" type="noConversion"/>
  </si>
  <si>
    <t>Months / Year</t>
    <phoneticPr fontId="10" type="noConversion"/>
  </si>
  <si>
    <t>Rounds incl</t>
  </si>
  <si>
    <t>Breakaway Hull</t>
    <phoneticPr fontId="10" type="noConversion"/>
  </si>
  <si>
    <t>Pulse Laser</t>
    <phoneticPr fontId="10" type="noConversion"/>
  </si>
  <si>
    <t>Troops</t>
    <phoneticPr fontId="10" type="noConversion"/>
  </si>
  <si>
    <t>Max Rating</t>
    <phoneticPr fontId="10" type="noConversion"/>
  </si>
  <si>
    <t>Medium</t>
    <phoneticPr fontId="10" type="noConversion"/>
  </si>
  <si>
    <t>Med autocannon</t>
    <phoneticPr fontId="10" type="noConversion"/>
  </si>
  <si>
    <t>8D, Auto 3</t>
    <phoneticPr fontId="10" type="noConversion"/>
  </si>
  <si>
    <t>Heavy Fighter</t>
    <phoneticPr fontId="10" type="noConversion"/>
  </si>
  <si>
    <t>Beam Laser</t>
    <phoneticPr fontId="10" type="noConversion"/>
  </si>
  <si>
    <t>dTon</t>
    <phoneticPr fontId="10" type="noConversion"/>
  </si>
  <si>
    <t>Basic</t>
    <phoneticPr fontId="10" type="noConversion"/>
  </si>
  <si>
    <t>Gaming Spaces</t>
    <phoneticPr fontId="10" type="noConversion"/>
  </si>
  <si>
    <t>Vaults</t>
    <phoneticPr fontId="10" type="noConversion"/>
  </si>
  <si>
    <t>Brigs</t>
    <phoneticPr fontId="10" type="noConversion"/>
  </si>
  <si>
    <t>Stables</t>
    <phoneticPr fontId="10" type="noConversion"/>
  </si>
  <si>
    <t>Cabin Spaces</t>
    <phoneticPr fontId="10" type="noConversion"/>
  </si>
  <si>
    <t>Acceleration Seats</t>
    <phoneticPr fontId="10" type="noConversion"/>
  </si>
  <si>
    <t>Acceleration Benches</t>
    <phoneticPr fontId="10" type="noConversion"/>
  </si>
  <si>
    <t>Psion Stateroom (upgrade)</t>
    <phoneticPr fontId="10" type="noConversion"/>
  </si>
  <si>
    <t>Psion Staterooms (upgrade)</t>
    <phoneticPr fontId="10" type="noConversion"/>
  </si>
  <si>
    <t>Airlocks</t>
    <phoneticPr fontId="10" type="noConversion"/>
  </si>
  <si>
    <t>Breaching Tubes</t>
    <phoneticPr fontId="10" type="noConversion"/>
  </si>
  <si>
    <t>Forced Linkages</t>
    <phoneticPr fontId="10" type="noConversion"/>
  </si>
  <si>
    <t>Re-entry Capsules</t>
    <phoneticPr fontId="10" type="noConversion"/>
  </si>
  <si>
    <t>Re-entry Pods</t>
    <phoneticPr fontId="10" type="noConversion"/>
  </si>
  <si>
    <t>Assault Capsules</t>
    <phoneticPr fontId="10" type="noConversion"/>
  </si>
  <si>
    <t>HiSurvivability Capsules</t>
    <phoneticPr fontId="10" type="noConversion"/>
  </si>
  <si>
    <t>Cargo Scoops</t>
    <phoneticPr fontId="10" type="noConversion"/>
  </si>
  <si>
    <t>Cargo Nets</t>
    <phoneticPr fontId="10" type="noConversion"/>
  </si>
  <si>
    <t>Loading Belts</t>
    <phoneticPr fontId="10" type="noConversion"/>
  </si>
  <si>
    <t>Grappling Arms</t>
    <phoneticPr fontId="10" type="noConversion"/>
  </si>
  <si>
    <t xml:space="preserve">    Sensor &amp; EW</t>
    <phoneticPr fontId="10" type="noConversion"/>
  </si>
  <si>
    <t>Loading Belt</t>
  </si>
  <si>
    <t>Gaming Space</t>
    <phoneticPr fontId="10" type="noConversion"/>
  </si>
  <si>
    <t>Countermeasures Suite</t>
    <phoneticPr fontId="10" type="noConversion"/>
  </si>
  <si>
    <t>Concealed Compartments</t>
    <phoneticPr fontId="10" type="noConversion"/>
  </si>
  <si>
    <t>Hamster Cage</t>
    <phoneticPr fontId="10" type="noConversion"/>
  </si>
  <si>
    <t>Gunner</t>
    <phoneticPr fontId="10" type="noConversion"/>
  </si>
  <si>
    <t>Command</t>
    <phoneticPr fontId="10" type="noConversion"/>
  </si>
  <si>
    <t>Point Defence</t>
    <phoneticPr fontId="10" type="noConversion"/>
  </si>
  <si>
    <t>No</t>
    <phoneticPr fontId="10" type="noConversion"/>
  </si>
  <si>
    <t>Medium Fighter</t>
    <phoneticPr fontId="10" type="noConversion"/>
  </si>
  <si>
    <t>Module (internal)</t>
    <phoneticPr fontId="10" type="noConversion"/>
  </si>
  <si>
    <t>Armoured</t>
    <phoneticPr fontId="10" type="noConversion"/>
  </si>
  <si>
    <t>K</t>
    <phoneticPr fontId="10" type="noConversion"/>
  </si>
  <si>
    <t>Craft Crew</t>
    <phoneticPr fontId="10" type="noConversion"/>
  </si>
  <si>
    <t>Crew</t>
    <phoneticPr fontId="10" type="noConversion"/>
  </si>
  <si>
    <t>Craft Crew</t>
    <phoneticPr fontId="10" type="noConversion"/>
  </si>
  <si>
    <t>Orbital Strike Mass Driver</t>
    <phoneticPr fontId="10" type="noConversion"/>
  </si>
  <si>
    <t>Max TL Prot</t>
    <phoneticPr fontId="10" type="noConversion"/>
  </si>
  <si>
    <t>TL</t>
    <phoneticPr fontId="10" type="noConversion"/>
  </si>
  <si>
    <t>Fixed Mount</t>
    <phoneticPr fontId="10" type="noConversion"/>
  </si>
  <si>
    <t>Note:</t>
    <phoneticPr fontId="10" type="noConversion"/>
  </si>
  <si>
    <t>Max 5% of Hull</t>
    <phoneticPr fontId="10" type="noConversion"/>
  </si>
  <si>
    <t>Sensor DM</t>
    <phoneticPr fontId="10" type="noConversion"/>
  </si>
  <si>
    <t>ECM DM</t>
    <phoneticPr fontId="10" type="noConversion"/>
  </si>
  <si>
    <t>Processing Bonus</t>
    <phoneticPr fontId="10" type="noConversion"/>
  </si>
  <si>
    <t>s</t>
    <phoneticPr fontId="12" type="noConversion"/>
  </si>
  <si>
    <t>Medium Bay</t>
    <phoneticPr fontId="10" type="noConversion"/>
  </si>
  <si>
    <t>Medium Bay</t>
    <phoneticPr fontId="10" type="noConversion"/>
  </si>
  <si>
    <t>Station Bridge</t>
  </si>
  <si>
    <t>Command Bridge</t>
  </si>
  <si>
    <t>Bridge</t>
  </si>
</sst>
</file>

<file path=xl/styles.xml><?xml version="1.0" encoding="utf-8"?>
<styleSheet xmlns="http://schemas.openxmlformats.org/spreadsheetml/2006/main">
  <numFmts count="63">
    <numFmt numFmtId="164" formatCode="0;;"/>
    <numFmt numFmtId="165" formatCode="0.0%"/>
    <numFmt numFmtId="166" formatCode="0&quot; h&quot;;;"/>
    <numFmt numFmtId="167" formatCode="[Green]0;[Red]\-0;"/>
    <numFmt numFmtId="168" formatCode="&quot;Dam: &quot;0&quot;DD&quot;"/>
    <numFmt numFmtId="169" formatCode="&quot;Dam: &quot;0&quot;DD&quot;;;"/>
    <numFmt numFmtId="170" formatCode="&quot;TL&quot;0;;"/>
    <numFmt numFmtId="171" formatCode="0%&quot; of crew&quot;"/>
    <numFmt numFmtId="172" formatCode="#,##0&quot; dT&quot;;[Red]\-#,##0&quot; dT&quot;;"/>
    <numFmt numFmtId="173" formatCode="0;[Red]\-0;"/>
    <numFmt numFmtId="174" formatCode="\+0;\-0;\±0"/>
    <numFmt numFmtId="175" formatCode="\+0%;\-0%;\±0%"/>
    <numFmt numFmtId="176" formatCode="&quot;TL &quot;0"/>
    <numFmt numFmtId="177" formatCode="&quot;Hull &quot;#\ ##0"/>
    <numFmt numFmtId="178" formatCode="#,##0&quot; dT&quot;;[Red]\-0;"/>
    <numFmt numFmtId="179" formatCode="&quot;Seats &quot;0;;"/>
    <numFmt numFmtId="180" formatCode="#,##0;[Red]\-#,##0;"/>
    <numFmt numFmtId="181" formatCode="#,##0;\-#,##0;"/>
    <numFmt numFmtId="182" formatCode="&quot;∑ &quot;#,##0;[Red]\-#,##0;"/>
    <numFmt numFmtId="183" formatCode="0&quot; w&quot;;;"/>
    <numFmt numFmtId="184" formatCode="#,##0.0"/>
    <numFmt numFmtId="185" formatCode="#,##0.0;;"/>
    <numFmt numFmtId="186" formatCode="#,##0&quot; dT/h&quot;;;"/>
    <numFmt numFmtId="187" formatCode="&quot;Drop&quot;;&quot;Jump&quot;;&quot;Part&quot;"/>
    <numFmt numFmtId="188" formatCode="&quot;Dual Occup &quot;0;&quot;Single Occup &quot;\-0;&quot;Single Occup &quot;0"/>
    <numFmt numFmtId="189" formatCode="#,##0.0;[Red]\-#,##0.0;"/>
    <numFmt numFmtId="190" formatCode="0;;0"/>
    <numFmt numFmtId="191" formatCode="0.0%;[Red]\-0.0%;0.0%"/>
    <numFmt numFmtId="192" formatCode="#,##0.0;[Red]\-#,##0.0;#,##0.0"/>
    <numFmt numFmtId="193" formatCode="&quot;ABH&quot;;[Red]\-0;"/>
    <numFmt numFmtId="194" formatCode="&quot;No&quot;;[Red]\-0;"/>
    <numFmt numFmtId="195" formatCode="&quot;Station &quot;0;&quot;Ship &quot;\-0;&quot;Ship &quot;0"/>
    <numFmt numFmtId="196" formatCode="0%;[Red]\-0%;"/>
    <numFmt numFmtId="197" formatCode="&quot;J-&quot;0;[Red]&quot;J-&quot;0;"/>
    <numFmt numFmtId="198" formatCode="0.0;[Red]\-0.0;"/>
    <numFmt numFmtId="199" formatCode="[Red]&quot;TL&quot;;&quot;TL&quot;;&quot;TL&quot;"/>
    <numFmt numFmtId="200" formatCode="0;\-0;"/>
    <numFmt numFmtId="201" formatCode="0&quot; t&quot;;;"/>
    <numFmt numFmtId="202" formatCode="0;\-0;0"/>
    <numFmt numFmtId="203" formatCode="#,##0&quot; Dt&quot;;[Red]\-0;"/>
    <numFmt numFmtId="204" formatCode="#,##0&quot; Dt&quot;;[Red]\-#,##0&quot; Dt&quot;;"/>
    <numFmt numFmtId="205" formatCode="#,##0&quot; Dt/J-1&quot;;[Red]\-#,##0&quot; Dt&quot;;"/>
    <numFmt numFmtId="206" formatCode="\+0%;\-0%;0"/>
    <numFmt numFmtId="207" formatCode="&quot;DM: &quot;\+0;&quot;DM: &quot;\-0;&quot;DM: &quot;\±0;"/>
    <numFmt numFmtId="208" formatCode="#,##0.?"/>
    <numFmt numFmtId="209" formatCode="#,##0.???"/>
    <numFmt numFmtId="210" formatCode="0.0#&quot; Dt/turn&quot;;[Red]\-0.0;"/>
    <numFmt numFmtId="211" formatCode="#\ ##0.0;\-#\ ##0.0;"/>
    <numFmt numFmtId="212" formatCode="[Green]0.##;[Red]\-0.##;"/>
    <numFmt numFmtId="213" formatCode="#,##0.000"/>
    <numFmt numFmtId="214" formatCode="&quot;MCr &quot;#,##0.0#;[Red]\-0;"/>
    <numFmt numFmtId="215" formatCode="&quot;Large Ship &quot;0;&quot;Normal Crew&quot;\-0;&quot;Normal Crew &quot;0"/>
    <numFmt numFmtId="216" formatCode="#,##0.###;[Red]\-#,##0.###;"/>
    <numFmt numFmtId="217" formatCode="&quot;Need &quot;#,##0.0"/>
    <numFmt numFmtId="218" formatCode="#,##0;[Red]\-#,##0;0"/>
    <numFmt numFmtId="219" formatCode="#,##0&quot; Dt/d&quot;;[Red]\-#,##0&quot; Dt/d&quot;;"/>
    <numFmt numFmtId="220" formatCode="#,##0&quot; PowTurn&quot;;[Red]\-0;"/>
    <numFmt numFmtId="221" formatCode="&quot;BW &quot;0;[Red]\-0;"/>
    <numFmt numFmtId="222" formatCode="&quot;Max BW &quot;0;[Red]\-0;"/>
    <numFmt numFmtId="223" formatCode="&quot;Military &quot;0;&quot;Budget &quot;\-0;&quot;Civilian &quot;0"/>
    <numFmt numFmtId="224" formatCode="0"/>
    <numFmt numFmtId="225" formatCode="0_,_0"/>
    <numFmt numFmtId="226" formatCode="0.?"/>
  </numFmts>
  <fonts count="18">
    <font>
      <sz val="10"/>
      <name val="Verdana"/>
    </font>
    <font>
      <b/>
      <sz val="10"/>
      <name val="Verdana"/>
    </font>
    <font>
      <b/>
      <sz val="10"/>
      <name val="Verdana"/>
    </font>
    <font>
      <b/>
      <sz val="10"/>
      <name val="Verdana"/>
    </font>
    <font>
      <sz val="10"/>
      <name val="Verdana"/>
    </font>
    <font>
      <b/>
      <sz val="10"/>
      <name val="Verdana"/>
    </font>
    <font>
      <b/>
      <sz val="10"/>
      <name val="Verdana"/>
    </font>
    <font>
      <b/>
      <sz val="10"/>
      <name val="Verdana"/>
    </font>
    <font>
      <b/>
      <sz val="10"/>
      <name val="Verdana"/>
    </font>
    <font>
      <b/>
      <sz val="10"/>
      <name val="Verdana"/>
    </font>
    <font>
      <sz val="8"/>
      <name val="Verdana"/>
    </font>
    <font>
      <sz val="10"/>
      <color indexed="8"/>
      <name val="TradeGothic"/>
      <family val="2"/>
    </font>
    <font>
      <sz val="8"/>
      <name val="Geneva"/>
    </font>
    <font>
      <sz val="14"/>
      <name val="Verdana"/>
    </font>
    <font>
      <b/>
      <sz val="14"/>
      <name val="Verdana"/>
    </font>
    <font>
      <sz val="12"/>
      <name val="Verdana"/>
    </font>
    <font>
      <sz val="10"/>
      <color indexed="22"/>
      <name val="Verdana"/>
    </font>
    <font>
      <sz val="10"/>
      <name val="Menlo Regula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0" fillId="0" borderId="0" xfId="0" applyAlignment="1">
      <alignment horizontal="right"/>
    </xf>
    <xf numFmtId="0" fontId="9" fillId="0" borderId="0" xfId="0" applyFont="1"/>
    <xf numFmtId="164" fontId="0" fillId="0" borderId="0" xfId="0" applyNumberFormat="1"/>
    <xf numFmtId="164" fontId="9" fillId="0" borderId="0" xfId="0" applyNumberFormat="1" applyFont="1"/>
    <xf numFmtId="9" fontId="0" fillId="0" borderId="0" xfId="0" applyNumberFormat="1"/>
    <xf numFmtId="1" fontId="0" fillId="0" borderId="0" xfId="0" applyNumberFormat="1"/>
    <xf numFmtId="10" fontId="0" fillId="0" borderId="0" xfId="0" applyNumberFormat="1"/>
    <xf numFmtId="9" fontId="0" fillId="0" borderId="0" xfId="0" applyNumberFormat="1"/>
    <xf numFmtId="10" fontId="0" fillId="0" borderId="0" xfId="0" applyNumberFormat="1"/>
    <xf numFmtId="165" fontId="0" fillId="0" borderId="0" xfId="0" applyNumberFormat="1"/>
    <xf numFmtId="165" fontId="0" fillId="0" borderId="0" xfId="0" applyNumberFormat="1"/>
    <xf numFmtId="9" fontId="0" fillId="0" borderId="0" xfId="0" applyNumberFormat="1"/>
    <xf numFmtId="9" fontId="9" fillId="0" borderId="0" xfId="0" applyNumberFormat="1" applyFont="1"/>
    <xf numFmtId="164" fontId="0" fillId="2" borderId="0" xfId="0" applyNumberFormat="1" applyFill="1"/>
    <xf numFmtId="1" fontId="0" fillId="2" borderId="0" xfId="0" applyNumberFormat="1" applyFill="1"/>
    <xf numFmtId="9" fontId="0" fillId="2" borderId="0" xfId="0" applyNumberFormat="1" applyFill="1"/>
    <xf numFmtId="164" fontId="0" fillId="0" borderId="0" xfId="0" applyNumberFormat="1"/>
    <xf numFmtId="164" fontId="7" fillId="0" borderId="0" xfId="0" applyNumberFormat="1" applyFont="1"/>
    <xf numFmtId="166" fontId="0" fillId="2" borderId="0" xfId="0" applyNumberFormat="1" applyFill="1"/>
    <xf numFmtId="166" fontId="9" fillId="0" borderId="0" xfId="0" applyNumberFormat="1" applyFont="1"/>
    <xf numFmtId="0" fontId="0" fillId="0" borderId="0" xfId="0" applyAlignment="1">
      <alignment horizontal="left"/>
    </xf>
    <xf numFmtId="0" fontId="0" fillId="2" borderId="0" xfId="0" applyFill="1"/>
    <xf numFmtId="167" fontId="0" fillId="0" borderId="0" xfId="0" applyNumberFormat="1"/>
    <xf numFmtId="164" fontId="0" fillId="0" borderId="0" xfId="0" applyNumberFormat="1"/>
    <xf numFmtId="164" fontId="0" fillId="0" borderId="0" xfId="0" applyNumberFormat="1" applyAlignment="1">
      <alignment horizontal="right"/>
    </xf>
    <xf numFmtId="9" fontId="0" fillId="0" borderId="0" xfId="0" applyNumberFormat="1"/>
    <xf numFmtId="169" fontId="0" fillId="0" borderId="0" xfId="0" applyNumberFormat="1"/>
    <xf numFmtId="170" fontId="9" fillId="0" borderId="0" xfId="0" applyNumberFormat="1" applyFont="1"/>
    <xf numFmtId="1" fontId="0" fillId="0" borderId="0" xfId="0" applyNumberFormat="1"/>
    <xf numFmtId="9" fontId="0" fillId="0" borderId="0" xfId="0" applyNumberFormat="1" applyAlignment="1">
      <alignment horizontal="right"/>
    </xf>
    <xf numFmtId="168" fontId="0" fillId="0" borderId="0" xfId="0" applyNumberFormat="1" applyAlignment="1">
      <alignment horizontal="right"/>
    </xf>
    <xf numFmtId="164" fontId="6" fillId="0" borderId="0" xfId="0" applyNumberFormat="1" applyFont="1"/>
    <xf numFmtId="164" fontId="0" fillId="2" borderId="0" xfId="0" applyNumberFormat="1" applyFill="1"/>
    <xf numFmtId="164" fontId="5" fillId="0" borderId="0" xfId="0" applyNumberFormat="1" applyFont="1"/>
    <xf numFmtId="164" fontId="0" fillId="0" borderId="0" xfId="0" applyNumberFormat="1"/>
    <xf numFmtId="0" fontId="5" fillId="0" borderId="0" xfId="0" applyFont="1" applyAlignment="1">
      <alignment horizontal="right"/>
    </xf>
    <xf numFmtId="173" fontId="0" fillId="0" borderId="0" xfId="0" applyNumberFormat="1"/>
    <xf numFmtId="167" fontId="0" fillId="0" borderId="0" xfId="0" applyNumberFormat="1" applyAlignment="1">
      <alignment horizontal="right"/>
    </xf>
    <xf numFmtId="175" fontId="0" fillId="0" borderId="0" xfId="0" applyNumberFormat="1" applyAlignment="1">
      <alignment horizontal="right"/>
    </xf>
    <xf numFmtId="175" fontId="0" fillId="0" borderId="0" xfId="0" applyNumberFormat="1"/>
    <xf numFmtId="173" fontId="0" fillId="0" borderId="0" xfId="0" applyNumberFormat="1"/>
    <xf numFmtId="173" fontId="0" fillId="2" borderId="0" xfId="0" applyNumberFormat="1" applyFill="1"/>
    <xf numFmtId="174" fontId="0" fillId="0" borderId="0" xfId="0" applyNumberFormat="1"/>
    <xf numFmtId="173" fontId="0" fillId="0" borderId="0" xfId="0" applyNumberFormat="1"/>
    <xf numFmtId="177" fontId="7" fillId="0" borderId="0" xfId="0" applyNumberFormat="1" applyFont="1" applyAlignment="1">
      <alignment horizontal="left"/>
    </xf>
    <xf numFmtId="9" fontId="0" fillId="0" borderId="0" xfId="0" applyNumberFormat="1"/>
    <xf numFmtId="178" fontId="0" fillId="2" borderId="0" xfId="0" applyNumberFormat="1" applyFill="1"/>
    <xf numFmtId="176" fontId="9" fillId="2" borderId="0" xfId="0" applyNumberFormat="1" applyFont="1" applyFill="1" applyAlignment="1">
      <alignment horizontal="left"/>
    </xf>
    <xf numFmtId="179" fontId="0" fillId="0" borderId="0" xfId="0" applyNumberFormat="1"/>
    <xf numFmtId="181" fontId="0" fillId="0" borderId="0" xfId="0" applyNumberFormat="1"/>
    <xf numFmtId="180" fontId="0" fillId="0" borderId="0" xfId="0" applyNumberFormat="1"/>
    <xf numFmtId="183" fontId="9" fillId="0" borderId="0" xfId="0" applyNumberFormat="1" applyFont="1"/>
    <xf numFmtId="164" fontId="4" fillId="0" borderId="0" xfId="0" applyNumberFormat="1" applyFont="1"/>
    <xf numFmtId="184" fontId="0" fillId="0" borderId="0" xfId="0" applyNumberFormat="1"/>
    <xf numFmtId="0" fontId="3" fillId="0" borderId="0" xfId="0" applyFont="1"/>
    <xf numFmtId="185" fontId="0" fillId="0" borderId="0" xfId="0" applyNumberFormat="1"/>
    <xf numFmtId="186" fontId="0" fillId="0" borderId="0" xfId="0" applyNumberFormat="1"/>
    <xf numFmtId="171" fontId="0" fillId="0" borderId="0" xfId="0" applyNumberFormat="1" applyAlignment="1">
      <alignment horizontal="left"/>
    </xf>
    <xf numFmtId="178" fontId="0" fillId="0" borderId="0" xfId="0" applyNumberFormat="1" applyAlignment="1">
      <alignment horizontal="left"/>
    </xf>
    <xf numFmtId="172" fontId="0" fillId="0" borderId="0" xfId="0" applyNumberFormat="1" applyAlignment="1"/>
    <xf numFmtId="0" fontId="2" fillId="0" borderId="0" xfId="0" applyFont="1"/>
    <xf numFmtId="0" fontId="2" fillId="0" borderId="0" xfId="0" applyFont="1" applyAlignment="1">
      <alignment horizontal="right"/>
    </xf>
    <xf numFmtId="184" fontId="2" fillId="0" borderId="0" xfId="0" applyNumberFormat="1" applyFont="1"/>
    <xf numFmtId="3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88" fontId="0" fillId="2" borderId="0" xfId="0" applyNumberFormat="1" applyFill="1" applyAlignment="1">
      <alignment horizontal="left"/>
    </xf>
    <xf numFmtId="0" fontId="1" fillId="0" borderId="0" xfId="0" applyFont="1"/>
    <xf numFmtId="189" fontId="0" fillId="0" borderId="0" xfId="0" applyNumberFormat="1"/>
    <xf numFmtId="187" fontId="0" fillId="2" borderId="0" xfId="0" applyNumberFormat="1" applyFill="1"/>
    <xf numFmtId="164" fontId="0" fillId="0" borderId="0" xfId="0" applyNumberFormat="1"/>
    <xf numFmtId="167" fontId="0" fillId="0" borderId="0" xfId="0" applyNumberFormat="1" applyAlignment="1">
      <alignment horizontal="right"/>
    </xf>
    <xf numFmtId="180" fontId="0" fillId="0" borderId="0" xfId="0" applyNumberFormat="1"/>
    <xf numFmtId="184" fontId="0" fillId="0" borderId="0" xfId="0" applyNumberFormat="1"/>
    <xf numFmtId="190" fontId="7" fillId="0" borderId="0" xfId="0" applyNumberFormat="1" applyFont="1"/>
    <xf numFmtId="0" fontId="1" fillId="0" borderId="0" xfId="0" applyFont="1" applyAlignment="1">
      <alignment horizontal="right"/>
    </xf>
    <xf numFmtId="191" fontId="4" fillId="0" borderId="0" xfId="0" applyNumberFormat="1" applyFont="1"/>
    <xf numFmtId="192" fontId="1" fillId="0" borderId="0" xfId="0" applyNumberFormat="1" applyFont="1"/>
    <xf numFmtId="178" fontId="0" fillId="0" borderId="0" xfId="0" applyNumberFormat="1"/>
    <xf numFmtId="193" fontId="0" fillId="0" borderId="0" xfId="0" applyNumberFormat="1" applyAlignment="1"/>
    <xf numFmtId="164" fontId="1" fillId="0" borderId="0" xfId="0" applyNumberFormat="1" applyFont="1"/>
    <xf numFmtId="194" fontId="0" fillId="0" borderId="0" xfId="0" applyNumberFormat="1" applyAlignment="1"/>
    <xf numFmtId="195" fontId="0" fillId="2" borderId="0" xfId="0" applyNumberFormat="1" applyFill="1" applyAlignment="1">
      <alignment horizontal="left"/>
    </xf>
    <xf numFmtId="196" fontId="0" fillId="2" borderId="0" xfId="0" applyNumberFormat="1" applyFill="1"/>
    <xf numFmtId="196" fontId="1" fillId="0" borderId="0" xfId="0" applyNumberFormat="1" applyFont="1"/>
    <xf numFmtId="9" fontId="0" fillId="0" borderId="0" xfId="0" applyNumberFormat="1"/>
    <xf numFmtId="0" fontId="0" fillId="2" borderId="0" xfId="0" applyFill="1" applyAlignment="1">
      <alignment horizontal="left"/>
    </xf>
    <xf numFmtId="182" fontId="0" fillId="0" borderId="0" xfId="0" applyNumberFormat="1"/>
    <xf numFmtId="197" fontId="0" fillId="2" borderId="0" xfId="0" applyNumberFormat="1" applyFill="1"/>
    <xf numFmtId="183" fontId="0" fillId="2" borderId="0" xfId="0" applyNumberFormat="1" applyFill="1"/>
    <xf numFmtId="0" fontId="11" fillId="0" borderId="0" xfId="0" applyFont="1"/>
    <xf numFmtId="0" fontId="13" fillId="0" borderId="0" xfId="0" applyFont="1"/>
    <xf numFmtId="0" fontId="14" fillId="0" borderId="0" xfId="0" applyFont="1" applyAlignment="1">
      <alignment wrapText="1"/>
    </xf>
    <xf numFmtId="0" fontId="13" fillId="0" borderId="0" xfId="0" applyFont="1" applyAlignment="1">
      <alignment vertical="top" wrapText="1"/>
    </xf>
    <xf numFmtId="0" fontId="15" fillId="0" borderId="0" xfId="0" applyFont="1"/>
    <xf numFmtId="0" fontId="13" fillId="0" borderId="0" xfId="0" applyFont="1" applyAlignment="1">
      <alignment horizontal="right"/>
    </xf>
    <xf numFmtId="0" fontId="13" fillId="0" borderId="0" xfId="0" applyFont="1" applyAlignment="1"/>
    <xf numFmtId="9" fontId="13" fillId="0" borderId="0" xfId="0" applyNumberFormat="1" applyFont="1"/>
    <xf numFmtId="0" fontId="4" fillId="0" borderId="0" xfId="0" applyFont="1" applyAlignment="1">
      <alignment horizontal="right"/>
    </xf>
    <xf numFmtId="173" fontId="0" fillId="0" borderId="0" xfId="0" applyNumberFormat="1" applyAlignment="1">
      <alignment horizontal="right"/>
    </xf>
    <xf numFmtId="164" fontId="4" fillId="0" borderId="0" xfId="0" applyNumberFormat="1" applyFont="1" applyAlignment="1">
      <alignment horizontal="right"/>
    </xf>
    <xf numFmtId="198" fontId="0" fillId="0" borderId="0" xfId="0" applyNumberFormat="1"/>
    <xf numFmtId="0" fontId="13" fillId="3" borderId="1" xfId="0" applyFont="1" applyFill="1" applyBorder="1"/>
    <xf numFmtId="0" fontId="13" fillId="3" borderId="1" xfId="0" applyFont="1" applyFill="1" applyBorder="1" applyAlignment="1">
      <alignment horizontal="right"/>
    </xf>
    <xf numFmtId="0" fontId="13" fillId="3" borderId="1" xfId="0" applyFont="1" applyFill="1" applyBorder="1" applyAlignment="1"/>
    <xf numFmtId="0" fontId="16" fillId="0" borderId="0" xfId="0" applyFont="1" applyAlignment="1">
      <alignment vertical="center"/>
    </xf>
    <xf numFmtId="200" fontId="0" fillId="2" borderId="0" xfId="0" applyNumberFormat="1" applyFill="1"/>
    <xf numFmtId="1" fontId="0" fillId="0" borderId="0" xfId="0" applyNumberFormat="1"/>
    <xf numFmtId="9" fontId="0" fillId="0" borderId="0" xfId="0" applyNumberFormat="1"/>
    <xf numFmtId="201" fontId="8" fillId="0" borderId="0" xfId="0" applyNumberFormat="1" applyFont="1"/>
    <xf numFmtId="194" fontId="0" fillId="0" borderId="0" xfId="0" applyNumberFormat="1" applyAlignment="1"/>
    <xf numFmtId="0" fontId="1" fillId="0" borderId="0" xfId="0" applyFont="1" applyAlignment="1">
      <alignment horizontal="left"/>
    </xf>
    <xf numFmtId="168" fontId="0" fillId="0" borderId="0" xfId="0" applyNumberFormat="1" applyAlignment="1">
      <alignment horizontal="left"/>
    </xf>
    <xf numFmtId="167" fontId="0" fillId="0" borderId="0" xfId="0" applyNumberFormat="1" applyAlignment="1">
      <alignment horizontal="left"/>
    </xf>
    <xf numFmtId="202" fontId="9" fillId="0" borderId="0" xfId="0" applyNumberFormat="1" applyFont="1"/>
    <xf numFmtId="203" fontId="0" fillId="2" borderId="0" xfId="0" applyNumberFormat="1" applyFill="1"/>
    <xf numFmtId="204" fontId="0" fillId="0" borderId="0" xfId="0" applyNumberFormat="1" applyAlignment="1"/>
    <xf numFmtId="205" fontId="0" fillId="0" borderId="0" xfId="0" applyNumberFormat="1" applyAlignment="1"/>
    <xf numFmtId="203" fontId="0" fillId="2" borderId="0" xfId="0" applyNumberFormat="1" applyFill="1"/>
    <xf numFmtId="0" fontId="0" fillId="0" borderId="0" xfId="0" applyNumberFormat="1"/>
    <xf numFmtId="206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NumberFormat="1" applyAlignment="1">
      <alignment horizontal="right"/>
    </xf>
    <xf numFmtId="174" fontId="0" fillId="0" borderId="0" xfId="0" applyNumberFormat="1" applyAlignment="1">
      <alignment horizontal="center"/>
    </xf>
    <xf numFmtId="207" fontId="0" fillId="0" borderId="0" xfId="0" applyNumberFormat="1"/>
    <xf numFmtId="199" fontId="1" fillId="0" borderId="0" xfId="0" applyNumberFormat="1" applyFont="1" applyAlignment="1">
      <alignment horizontal="right" vertical="center"/>
    </xf>
    <xf numFmtId="208" fontId="0" fillId="0" borderId="0" xfId="0" applyNumberFormat="1"/>
    <xf numFmtId="209" fontId="4" fillId="0" borderId="0" xfId="0" applyNumberFormat="1" applyFont="1"/>
    <xf numFmtId="210" fontId="0" fillId="0" borderId="0" xfId="0" applyNumberFormat="1" applyAlignment="1">
      <alignment horizontal="right"/>
    </xf>
    <xf numFmtId="164" fontId="1" fillId="0" borderId="0" xfId="0" applyNumberFormat="1" applyFont="1"/>
    <xf numFmtId="211" fontId="1" fillId="0" borderId="0" xfId="0" applyNumberFormat="1" applyFont="1"/>
    <xf numFmtId="211" fontId="0" fillId="0" borderId="0" xfId="0" applyNumberFormat="1"/>
    <xf numFmtId="212" fontId="0" fillId="0" borderId="0" xfId="0" applyNumberFormat="1"/>
    <xf numFmtId="167" fontId="0" fillId="0" borderId="0" xfId="0" applyNumberFormat="1"/>
    <xf numFmtId="213" fontId="0" fillId="0" borderId="0" xfId="0" applyNumberFormat="1"/>
    <xf numFmtId="214" fontId="0" fillId="0" borderId="0" xfId="0" applyNumberFormat="1" applyAlignment="1">
      <alignment horizontal="right"/>
    </xf>
    <xf numFmtId="215" fontId="0" fillId="2" borderId="0" xfId="0" applyNumberFormat="1" applyFill="1" applyAlignment="1">
      <alignment horizontal="left"/>
    </xf>
    <xf numFmtId="0" fontId="4" fillId="0" borderId="0" xfId="0" applyFont="1"/>
    <xf numFmtId="216" fontId="0" fillId="0" borderId="0" xfId="0" applyNumberFormat="1"/>
    <xf numFmtId="217" fontId="0" fillId="0" borderId="0" xfId="0" applyNumberFormat="1" applyAlignment="1">
      <alignment horizontal="right"/>
    </xf>
    <xf numFmtId="180" fontId="0" fillId="2" borderId="0" xfId="0" applyNumberFormat="1" applyFill="1"/>
    <xf numFmtId="218" fontId="0" fillId="0" borderId="0" xfId="0" applyNumberFormat="1"/>
    <xf numFmtId="180" fontId="1" fillId="0" borderId="0" xfId="0" applyNumberFormat="1" applyFont="1"/>
    <xf numFmtId="180" fontId="0" fillId="0" borderId="0" xfId="0" applyNumberFormat="1"/>
    <xf numFmtId="218" fontId="7" fillId="0" borderId="0" xfId="0" applyNumberFormat="1" applyFont="1"/>
    <xf numFmtId="218" fontId="0" fillId="0" borderId="0" xfId="0" applyNumberFormat="1"/>
    <xf numFmtId="219" fontId="0" fillId="0" borderId="0" xfId="0" applyNumberFormat="1" applyAlignment="1">
      <alignment horizontal="right"/>
    </xf>
    <xf numFmtId="220" fontId="0" fillId="0" borderId="0" xfId="0" applyNumberFormat="1" applyAlignment="1">
      <alignment horizontal="left"/>
    </xf>
    <xf numFmtId="204" fontId="0" fillId="0" borderId="0" xfId="0" applyNumberFormat="1" applyAlignment="1">
      <alignment horizontal="right"/>
    </xf>
    <xf numFmtId="221" fontId="0" fillId="0" borderId="0" xfId="0" applyNumberFormat="1"/>
    <xf numFmtId="222" fontId="0" fillId="0" borderId="0" xfId="0" applyNumberFormat="1"/>
    <xf numFmtId="223" fontId="0" fillId="2" borderId="0" xfId="0" applyNumberFormat="1" applyFill="1" applyAlignment="1">
      <alignment horizontal="left"/>
    </xf>
    <xf numFmtId="0" fontId="0" fillId="0" borderId="2" xfId="0" applyBorder="1"/>
    <xf numFmtId="0" fontId="0" fillId="0" borderId="3" xfId="0" applyBorder="1"/>
    <xf numFmtId="0" fontId="4" fillId="2" borderId="0" xfId="0" applyFont="1" applyFill="1"/>
    <xf numFmtId="224" fontId="0" fillId="0" borderId="0" xfId="0" applyNumberFormat="1"/>
    <xf numFmtId="225" fontId="0" fillId="0" borderId="0" xfId="0" applyNumberFormat="1"/>
    <xf numFmtId="226" fontId="0" fillId="0" borderId="0" xfId="0" applyNumberFormat="1"/>
    <xf numFmtId="1" fontId="0" fillId="0" borderId="0" xfId="0" applyNumberFormat="1" applyAlignment="1">
      <alignment horizontal="right"/>
    </xf>
    <xf numFmtId="224" fontId="0" fillId="0" borderId="0" xfId="0" applyNumberFormat="1"/>
  </cellXfs>
  <cellStyles count="1">
    <cellStyle name="Normal" xfId="0" builtinId="0"/>
  </cellStyles>
  <dxfs count="2">
    <dxf>
      <font>
        <b/>
        <i val="0"/>
        <condense val="0"/>
        <extend val="0"/>
        <color indexed="25"/>
      </font>
    </dxf>
    <dxf>
      <font>
        <condense val="0"/>
        <extend val="0"/>
        <color indexed="27"/>
      </font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B1:AG118"/>
  <sheetViews>
    <sheetView workbookViewId="0">
      <selection activeCell="B5" sqref="B5"/>
    </sheetView>
  </sheetViews>
  <sheetFormatPr baseColWidth="10" defaultRowHeight="18"/>
  <cols>
    <col min="1" max="1" width="10.7109375" style="92"/>
    <col min="2" max="2" width="83.85546875" style="92" customWidth="1"/>
    <col min="3" max="6" width="10.7109375" style="92"/>
    <col min="7" max="7" width="79.28515625" style="92" customWidth="1"/>
    <col min="8" max="16384" width="10.7109375" style="92"/>
  </cols>
  <sheetData>
    <row r="1" spans="2:22">
      <c r="O1" t="str">
        <f xml:space="preserve"> CHAR( 10 )</f>
        <v xml:space="preserve">
</v>
      </c>
      <c r="Q1" s="92" t="s">
        <v>506</v>
      </c>
    </row>
    <row r="3" spans="2:22">
      <c r="B3" s="93" t="s">
        <v>745</v>
      </c>
    </row>
    <row r="5" spans="2:22" ht="361" customHeight="1">
      <c r="B5" s="94" t="str">
        <f xml:space="preserve"> CONCATENATE( G6 &amp; G7 &amp; newline &amp; G8 &amp; G9 &amp; G10 &amp; newline &amp; G11 &amp; G12 &amp; newline &amp; G13 &amp; IF(G13&lt;&gt;"",newline,"") &amp; G14 &amp; IF(G14&lt;&gt;"",newline,"") &amp; G15 &amp; IF(G15&lt;&gt;"",newline,"") &amp; G16 &amp;  G17 &amp; G18 )</f>
        <v xml:space="preserve">Using a 100 Dton partially streamlined hull, it has performance of jump-2 and 2 g acceleration. There is fuel tankage of 21 Dton, enough for 4 weeks and jump-2. 
The ship has a bridge with holographic controls. Adjacent to the bridge are a m/10 and a m/5/bis computer. The sensor suite include a civilian sensor. 
There are three staterooms and three tons of common areas. There are six escape capsules. 
Cargo capacity is 34 Dton. The ship requires a crew of three: a pilot, an astrogator, and an engineer. The ship costs MCr 30,8. </v>
      </c>
    </row>
    <row r="6" spans="2:22">
      <c r="G6" s="97" t="str">
        <f xml:space="preserve"> CONCATENATE( "Using a ", L6, " Dton " &amp; M6 &amp; " hull, it has performance of " &amp; IF(M7&gt;0,CONCATENATE("jump-"&amp;M7&amp;" and "),"") &amp; M8 &amp; " g acceleration. " )</f>
        <v xml:space="preserve">Using a 100 Dton partially streamlined hull, it has performance of jump-2 and 2 g acceleration. </v>
      </c>
      <c r="L6" s="92">
        <f xml:space="preserve"> Hull</f>
        <v>100</v>
      </c>
      <c r="M6" s="98" t="str">
        <f xml:space="preserve"> LOWER( N6 )</f>
        <v>partially streamlined</v>
      </c>
      <c r="N6" s="92" t="str">
        <f xml:space="preserve"> IF( Ship!X13=O6, "partially streamlined", Ship!X13 )</f>
        <v>partially streamlined</v>
      </c>
      <c r="O6" s="92" t="str">
        <f xml:space="preserve"> Tables!C40</f>
        <v>Partial</v>
      </c>
      <c r="S6"/>
      <c r="T6"/>
      <c r="U6"/>
      <c r="V6"/>
    </row>
    <row r="7" spans="2:22">
      <c r="G7" s="97" t="str">
        <f xml:space="preserve"> CONCATENATE( "There is fuel tankage of ", L10, " Dton, enough for ", N10, " weeks" &amp; IF(M7&gt;0,CONCATENATE(" and jump-", ROUNDDOWN(P10/Q10,1)),"") &amp; ". " )</f>
        <v xml:space="preserve">There is fuel tankage of 21 Dton, enough for 4 weeks and jump-2. </v>
      </c>
      <c r="M7" s="92">
        <f>Ship!F39</f>
        <v>2</v>
      </c>
    </row>
    <row r="8" spans="2:22">
      <c r="G8" s="97" t="str">
        <f xml:space="preserve"> CONCATENATE( "The ship " &amp; IF(L35=1,"has","have") &amp; L42   )</f>
        <v xml:space="preserve">The ship has a bridge with holographic controls. </v>
      </c>
      <c r="M8" s="92">
        <f xml:space="preserve"> SUM( Ship!F40,Ship!F41 )</f>
        <v>2</v>
      </c>
    </row>
    <row r="9" spans="2:22">
      <c r="B9" s="95" t="s">
        <v>92</v>
      </c>
      <c r="G9" s="97" t="str">
        <f xml:space="preserve"> IF( L48&gt;0, CONCATENATE( "Adjacent to the bridge " &amp; IF(L48=1,"is","are") &amp; L55  ), "" )</f>
        <v xml:space="preserve">Adjacent to the bridge are a m/10 and a m/5/bis computer. </v>
      </c>
      <c r="M9" s="92">
        <f xml:space="preserve"> Ship!J42</f>
        <v>41.5</v>
      </c>
    </row>
    <row r="10" spans="2:22">
      <c r="B10" s="95" t="s">
        <v>327</v>
      </c>
      <c r="G10" s="97" t="str">
        <f xml:space="preserve"> IF( L87&gt;0, CONCATENATE( "The sensor suite include" &amp; IF(L87=1,"","s") &amp; L94  ), "" )</f>
        <v xml:space="preserve">The sensor suite include a civilian sensor. </v>
      </c>
      <c r="L10" s="92">
        <f xml:space="preserve"> Ship!H48/1.05 + Ship!H49 + Ship!H50 + Ship!H52</f>
        <v>21</v>
      </c>
      <c r="M10" s="92">
        <f>M7</f>
        <v>2</v>
      </c>
      <c r="N10" s="92">
        <f xml:space="preserve"> Ship!F52</f>
        <v>4</v>
      </c>
      <c r="P10" s="92">
        <f xml:space="preserve"> Ship!H48/1.05 + Ship!H49 + Ship!H50</f>
        <v>20</v>
      </c>
      <c r="Q10" s="92">
        <f xml:space="preserve"> Ship!B50</f>
        <v>10</v>
      </c>
    </row>
    <row r="11" spans="2:22">
      <c r="G11" s="97" t="str">
        <f xml:space="preserve"> IF( L61&gt;0, CONCATENATE( "There " &amp; IF(L61=1,"is","are") &amp; L68  ), "" )</f>
        <v xml:space="preserve">There are three staterooms and three tons of common areas. </v>
      </c>
      <c r="M11" s="92">
        <f>Ship!G58</f>
        <v>1</v>
      </c>
      <c r="N11" s="92">
        <f>Ship!G59</f>
        <v>1</v>
      </c>
      <c r="P11" s="96"/>
      <c r="S11" s="96"/>
      <c r="V11" s="96"/>
    </row>
    <row r="12" spans="2:22">
      <c r="G12" s="97" t="str">
        <f xml:space="preserve"> IF( L74&gt;0, CONCATENATE( "There " &amp; IF(L74=1,"is","are") &amp; L81  ), "" )</f>
        <v xml:space="preserve">There are six escape capsules. </v>
      </c>
      <c r="M12" s="92" t="str">
        <f xml:space="preserve"> IF( M11=0, "no", IF( M11=1, "a", IF( M11&lt;=12, VLOOKUP( M11, Tables!$B$2:$D$36, 3 ), M11 ) ) )</f>
        <v>a</v>
      </c>
      <c r="N12" s="92" t="str">
        <f xml:space="preserve"> IF( N11=0, "no", IF( N11=1, "a", IF( N11&lt;=12, VLOOKUP( N11, Tables!$B$2:$D$36, 3 ), N11 ) ) )</f>
        <v>a</v>
      </c>
      <c r="P12" s="96"/>
      <c r="S12" s="96"/>
      <c r="V12" s="96"/>
    </row>
    <row r="13" spans="2:22">
      <c r="G13" s="97"/>
      <c r="M13" s="92" t="str">
        <f xml:space="preserve"> IF( M11&lt;&gt;1, T("s"), "" )</f>
        <v/>
      </c>
      <c r="N13" s="92" t="str">
        <f xml:space="preserve"> IF( N11&lt;&gt;1, T("s"), "" )</f>
        <v/>
      </c>
      <c r="P13" s="96"/>
      <c r="S13" s="96"/>
      <c r="V13" s="96"/>
    </row>
    <row r="14" spans="2:22">
      <c r="G14" s="97" t="str">
        <f xml:space="preserve"> IF( M96+O96&gt;0, CONCATENATE( "There " &amp; IF(M96+O96=1,"is","are") &amp; " " &amp; O99 &amp; IF(AND(M96&gt;0,O96&gt;0)," and ","") &amp; M99 &amp; ". "  ), "" )</f>
        <v/>
      </c>
      <c r="M14" s="92" t="str">
        <f>Ship!B58</f>
        <v>m/10</v>
      </c>
      <c r="N14" s="92" t="str">
        <f>Ship!B59</f>
        <v>m/5/bis</v>
      </c>
      <c r="P14" s="96"/>
      <c r="S14" s="96"/>
      <c r="V14" s="96"/>
    </row>
    <row r="15" spans="2:22">
      <c r="G15" s="97" t="str">
        <f xml:space="preserve"> IF( L108&gt;0, CONCATENATE( "There " &amp; IF(L108=1,"is","are") &amp; L118  ), "" )</f>
        <v/>
      </c>
      <c r="P15" s="96"/>
      <c r="S15" s="96"/>
      <c r="V15" s="96"/>
    </row>
    <row r="16" spans="2:22">
      <c r="G16" s="97" t="str">
        <f xml:space="preserve"> CONCATENATE( "Cargo capacity is " &amp; M17 &amp; " Dton. " )</f>
        <v xml:space="preserve">Cargo capacity is 34 Dton. </v>
      </c>
    </row>
    <row r="17" spans="7:26">
      <c r="G17" s="97" t="str">
        <f xml:space="preserve"> CONCATENATE( "The ship requires a crew of " &amp; L23 &amp; ":" &amp; L29 )</f>
        <v xml:space="preserve">The ship requires a crew of three: a pilot, an astrogator, and an engineer. </v>
      </c>
      <c r="M17" s="92">
        <f xml:space="preserve"> ROUNDDOWN( Ship!H87, 0 )</f>
        <v>34</v>
      </c>
      <c r="N17" s="92">
        <f xml:space="preserve"> ROUND( IF( Ship!B191=Ship!Z191, Ship!I7, Ship!I6 ),1)</f>
        <v>30.8</v>
      </c>
    </row>
    <row r="18" spans="7:26">
      <c r="G18" s="97" t="str">
        <f xml:space="preserve"> CONCATENATE( "The ship costs MCr " &amp; N17 &amp; ". " )</f>
        <v xml:space="preserve">The ship costs MCr 30,8. </v>
      </c>
    </row>
    <row r="19" spans="7:26">
      <c r="G19" s="97"/>
      <c r="L19" s="92" t="s">
        <v>336</v>
      </c>
      <c r="M19" s="103" t="s">
        <v>233</v>
      </c>
      <c r="N19" s="104" t="s">
        <v>659</v>
      </c>
      <c r="O19" s="104" t="s">
        <v>660</v>
      </c>
      <c r="P19" s="104" t="s">
        <v>674</v>
      </c>
      <c r="Q19" s="104" t="s">
        <v>362</v>
      </c>
      <c r="R19" s="104" t="s">
        <v>683</v>
      </c>
      <c r="S19" s="104" t="s">
        <v>667</v>
      </c>
      <c r="T19" s="104" t="s">
        <v>668</v>
      </c>
      <c r="U19" s="104" t="s">
        <v>826</v>
      </c>
      <c r="V19" s="104" t="s">
        <v>796</v>
      </c>
      <c r="W19" s="104" t="s">
        <v>751</v>
      </c>
      <c r="X19" s="104" t="s">
        <v>185</v>
      </c>
      <c r="Y19" s="104" t="s">
        <v>185</v>
      </c>
      <c r="Z19" s="103"/>
    </row>
    <row r="20" spans="7:26">
      <c r="G20" s="97"/>
      <c r="L20" s="92" t="s">
        <v>279</v>
      </c>
      <c r="M20" s="104" t="str">
        <f xml:space="preserve"> IF( IFERROR( SEARCH( LOWER( LEFT( M19, 1 ) ), vowels ), 0 )&gt;0, "an", "a" )</f>
        <v>a</v>
      </c>
      <c r="N20" s="104" t="str">
        <f t="shared" ref="N20:Y20" si="0" xml:space="preserve"> IF( IFERROR( SEARCH( LOWER( LEFT( N19, 1 ) ), vowels ), 0 )&gt;0, "an", "a" )</f>
        <v>an</v>
      </c>
      <c r="O20" s="104" t="str">
        <f t="shared" ref="O20" si="1" xml:space="preserve"> IF( IFERROR( SEARCH( LOWER( LEFT( O19, 1 ) ), vowels ), 0 )&gt;0, "an", "a" )</f>
        <v>a</v>
      </c>
      <c r="P20" s="104" t="str">
        <f t="shared" si="0"/>
        <v>an</v>
      </c>
      <c r="Q20" s="104" t="str">
        <f t="shared" si="0"/>
        <v>a</v>
      </c>
      <c r="R20" s="104" t="str">
        <f t="shared" si="0"/>
        <v>an</v>
      </c>
      <c r="S20" s="104" t="s">
        <v>379</v>
      </c>
      <c r="T20" s="104" t="str">
        <f t="shared" si="0"/>
        <v>a</v>
      </c>
      <c r="U20" s="104" t="str">
        <f t="shared" si="0"/>
        <v>a</v>
      </c>
      <c r="V20" s="104" t="s">
        <v>379</v>
      </c>
      <c r="W20" s="104" t="str">
        <f t="shared" si="0"/>
        <v>a</v>
      </c>
      <c r="X20" s="104" t="str">
        <f t="shared" si="0"/>
        <v>a</v>
      </c>
      <c r="Y20" s="104" t="str">
        <f t="shared" si="0"/>
        <v>a</v>
      </c>
      <c r="Z20" s="103"/>
    </row>
    <row r="21" spans="7:26">
      <c r="M21" s="104"/>
      <c r="N21" s="104" t="s">
        <v>753</v>
      </c>
      <c r="O21" s="104" t="s">
        <v>753</v>
      </c>
      <c r="P21" s="104" t="s">
        <v>753</v>
      </c>
      <c r="Q21" s="104" t="s">
        <v>753</v>
      </c>
      <c r="R21" s="104" t="s">
        <v>753</v>
      </c>
      <c r="S21" s="104"/>
      <c r="T21" s="104" t="s">
        <v>753</v>
      </c>
      <c r="U21" s="104" t="s">
        <v>753</v>
      </c>
      <c r="V21" s="104"/>
      <c r="W21" s="104" t="s">
        <v>753</v>
      </c>
      <c r="X21" s="104"/>
      <c r="Y21" s="104" t="s">
        <v>753</v>
      </c>
      <c r="Z21" s="103"/>
    </row>
    <row r="22" spans="7:26">
      <c r="L22" s="92">
        <f>M22</f>
        <v>3</v>
      </c>
      <c r="M22" s="103">
        <f>Crew</f>
        <v>3</v>
      </c>
      <c r="N22" s="103">
        <f>Ship!D166</f>
        <v>0</v>
      </c>
      <c r="O22" s="103">
        <f>Ship!E168</f>
        <v>1</v>
      </c>
      <c r="P22" s="103">
        <f>Ship!E169</f>
        <v>1</v>
      </c>
      <c r="Q22" s="103">
        <f>Ship!E170</f>
        <v>0</v>
      </c>
      <c r="R22" s="103">
        <f>Ship!D171</f>
        <v>1</v>
      </c>
      <c r="S22" s="103">
        <f>Ship!D174</f>
        <v>0</v>
      </c>
      <c r="T22" s="103">
        <f>Ship!D178</f>
        <v>0</v>
      </c>
      <c r="U22" s="103">
        <f>Ship!D179</f>
        <v>0</v>
      </c>
      <c r="V22" s="103">
        <f>Ship!D180</f>
        <v>0</v>
      </c>
      <c r="W22" s="103">
        <f>Ship!D181</f>
        <v>0</v>
      </c>
      <c r="X22" s="103">
        <v>0</v>
      </c>
      <c r="Y22" s="103">
        <v>0</v>
      </c>
      <c r="Z22" s="103"/>
    </row>
    <row r="23" spans="7:26">
      <c r="L23" s="92" t="str">
        <f xml:space="preserve"> IF( L22=0, "no", IF( L22=1, L20, IF( L22&lt;=12, VLOOKUP( L22, Tables!$B$2:$D$36, 3 ), L22 ) ) )</f>
        <v>three</v>
      </c>
      <c r="M23" s="104" t="str">
        <f xml:space="preserve"> IF( M22=0, "no", IF( M22=1, M20, IF( M22&lt;=12, VLOOKUP( M22, Tables!$B$2:$D$36, 3 ), M22 ) ) )</f>
        <v>three</v>
      </c>
      <c r="N23" s="104" t="str">
        <f xml:space="preserve"> IF( N22=0, "no", IF( N22=1, N20, IF( N22&lt;=12, VLOOKUP( N22, Tables!$B$2:$D$36, 3 ), N22 ) ) )</f>
        <v>no</v>
      </c>
      <c r="O23" s="104" t="str">
        <f xml:space="preserve"> IF( O22=0, "no", IF( O22=1, O20, IF( O22&lt;=12, VLOOKUP( O22, Tables!$B$2:$D$36, 3 ), O22 ) ) )</f>
        <v>a</v>
      </c>
      <c r="P23" s="104" t="str">
        <f xml:space="preserve"> IF( P22=0, "no", IF( P22=1, P20, IF( P22&lt;=12, VLOOKUP( P22, Tables!$B$2:$D$36, 3 ), P22 ) ) )</f>
        <v>an</v>
      </c>
      <c r="Q23" s="104" t="str">
        <f xml:space="preserve"> IF( Q22=0, "no", IF( Q22=1, Q20, IF( Q22&lt;=12, VLOOKUP( Q22, Tables!$B$2:$D$36, 3 ), Q22 ) ) )</f>
        <v>no</v>
      </c>
      <c r="R23" s="104" t="str">
        <f xml:space="preserve"> IF( R22=0, "no", IF( R22=1, R20, IF( R22&lt;=12, VLOOKUP( R22, Tables!$B$2:$D$36, 3 ), R22 ) ) )</f>
        <v>an</v>
      </c>
      <c r="S23" s="104" t="str">
        <f xml:space="preserve"> IF( S22=0, "no", IF( S22=1, S20, IF( S22&lt;=12, VLOOKUP( S22, Tables!$B$2:$D$36, 3 ), S22 ) ) )</f>
        <v>no</v>
      </c>
      <c r="T23" s="104" t="str">
        <f xml:space="preserve"> IF( T22=0, "no", IF( T22=1, T20, IF( T22&lt;=12, VLOOKUP( T22, Tables!$B$2:$D$36, 3 ), T22 ) ) )</f>
        <v>no</v>
      </c>
      <c r="U23" s="104" t="str">
        <f xml:space="preserve"> IF( U22=0, "no", IF( U22=1, U20, IF( U22&lt;=12, VLOOKUP( U22, Tables!$B$2:$D$36, 3 ), U22 ) ) )</f>
        <v>no</v>
      </c>
      <c r="V23" s="104" t="str">
        <f xml:space="preserve"> IF( V22=0, "no", IF( V22=1, V20, IF( V22&lt;=12, VLOOKUP( V22, Tables!$B$2:$D$36, 3 ), V22 ) ) )</f>
        <v>no</v>
      </c>
      <c r="W23" s="104" t="str">
        <f xml:space="preserve"> IF( W22=0, "no", IF( W22=1, W20, IF( W22&lt;=12, VLOOKUP( W22, Tables!$B$2:$D$36, 3 ), W22 ) ) )</f>
        <v>no</v>
      </c>
      <c r="X23" s="104" t="str">
        <f xml:space="preserve"> IF( X22=0, "no", IF( X22=1, X20, IF( X22&lt;=12, VLOOKUP( X22, Tables!$B$2:$D$36, 3 ), X22 ) ) )</f>
        <v>no</v>
      </c>
      <c r="Y23" s="104" t="str">
        <f xml:space="preserve"> IF( Y22=0, "no", IF( Y22=1, Y20, IF( Y22&lt;=12, VLOOKUP( Y22, Tables!$B$2:$D$36, 3 ), Y22 ) ) )</f>
        <v>no</v>
      </c>
      <c r="Z23" s="103"/>
    </row>
    <row r="24" spans="7:26">
      <c r="M24" s="104" t="str">
        <f xml:space="preserve"> IF( M22&lt;&gt;1, T(M21), "" )</f>
        <v/>
      </c>
      <c r="N24" s="104" t="str">
        <f t="shared" ref="N24:Y24" si="2" xml:space="preserve"> IF( N22&lt;&gt;1, T(N21), "" )</f>
        <v>s</v>
      </c>
      <c r="O24" s="104" t="str">
        <f t="shared" ref="O24" si="3" xml:space="preserve"> IF( O22&lt;&gt;1, T(O21), "" )</f>
        <v/>
      </c>
      <c r="P24" s="104" t="str">
        <f t="shared" si="2"/>
        <v/>
      </c>
      <c r="Q24" s="104" t="str">
        <f t="shared" si="2"/>
        <v>s</v>
      </c>
      <c r="R24" s="104" t="str">
        <f t="shared" si="2"/>
        <v/>
      </c>
      <c r="S24" s="104" t="str">
        <f t="shared" si="2"/>
        <v/>
      </c>
      <c r="T24" s="104" t="str">
        <f t="shared" si="2"/>
        <v>s</v>
      </c>
      <c r="U24" s="104" t="str">
        <f t="shared" si="2"/>
        <v>s</v>
      </c>
      <c r="V24" s="104" t="str">
        <f t="shared" si="2"/>
        <v/>
      </c>
      <c r="W24" s="104" t="str">
        <f t="shared" si="2"/>
        <v>s</v>
      </c>
      <c r="X24" s="104" t="str">
        <f t="shared" si="2"/>
        <v/>
      </c>
      <c r="Y24" s="104" t="str">
        <f t="shared" si="2"/>
        <v>s</v>
      </c>
      <c r="Z24" s="103"/>
    </row>
    <row r="25" spans="7:26">
      <c r="M25" s="103" t="str">
        <f t="shared" ref="M25:Y25" si="4" xml:space="preserve"> CONCATENATE( M23 &amp; " " &amp; M19 &amp; M24 )</f>
        <v>three crew</v>
      </c>
      <c r="N25" s="103" t="str">
        <f t="shared" si="4"/>
        <v>no officers</v>
      </c>
      <c r="O25" s="103" t="str">
        <f t="shared" ref="O25" si="5" xml:space="preserve"> CONCATENATE( O23 &amp; " " &amp; O19 &amp; O24 )</f>
        <v>a pilot</v>
      </c>
      <c r="P25" s="103" t="str">
        <f t="shared" si="4"/>
        <v>an astrogator</v>
      </c>
      <c r="Q25" s="103" t="str">
        <f t="shared" si="4"/>
        <v>no sensor operators</v>
      </c>
      <c r="R25" s="103" t="str">
        <f t="shared" si="4"/>
        <v>an engineer</v>
      </c>
      <c r="S25" s="103" t="str">
        <f t="shared" si="4"/>
        <v>no service crew</v>
      </c>
      <c r="T25" s="103" t="str">
        <f t="shared" si="4"/>
        <v>no specialists</v>
      </c>
      <c r="U25" s="103" t="str">
        <f t="shared" si="4"/>
        <v>no gunners</v>
      </c>
      <c r="V25" s="103" t="str">
        <f t="shared" si="4"/>
        <v>no flight crew</v>
      </c>
      <c r="W25" s="103" t="str">
        <f t="shared" si="4"/>
        <v>no troops</v>
      </c>
      <c r="X25" s="103" t="str">
        <f t="shared" si="4"/>
        <v>no none</v>
      </c>
      <c r="Y25" s="103" t="str">
        <f t="shared" si="4"/>
        <v>no nones</v>
      </c>
      <c r="Z25" s="103"/>
    </row>
    <row r="26" spans="7:26">
      <c r="M26" s="103"/>
      <c r="N26" s="103" t="str">
        <f xml:space="preserve"> IF( AND( SUM( N22:$X22 )&gt;0, SUM(O22:$Y22)=0, SUM($M22:M22)&gt;$M22 ), " and ", " " )</f>
        <v xml:space="preserve"> </v>
      </c>
      <c r="O26" s="103" t="str">
        <f xml:space="preserve"> IF( AND( SUM( O22:$X22 )&gt;0, SUM(P22:$Y22)=0, SUM($M22:N22)&gt;$M22 ), " and ", " " )</f>
        <v xml:space="preserve"> </v>
      </c>
      <c r="P26" s="103" t="str">
        <f xml:space="preserve"> IF( AND( SUM( P22:$X22 )&gt;0, SUM(Q22:$Y22)=0, SUM($M22:O22)&gt;$M22 ), " and ", " " )</f>
        <v xml:space="preserve"> </v>
      </c>
      <c r="Q26" s="103" t="str">
        <f xml:space="preserve"> IF( AND( SUM( Q22:$X22 )&gt;0, SUM(R22:$Y22)=0, SUM($M22:P22)&gt;$M22 ), " and ", " " )</f>
        <v xml:space="preserve"> </v>
      </c>
      <c r="R26" s="103" t="str">
        <f xml:space="preserve"> IF( AND( SUM( R22:$X22 )&gt;0, SUM(S22:$Y22)=0, SUM($M22:Q22)&gt;$M22 ), " and ", " " )</f>
        <v xml:space="preserve"> and </v>
      </c>
      <c r="S26" s="103" t="str">
        <f xml:space="preserve"> IF( AND( SUM( S22:$X22 )&gt;0, SUM(T22:$Y22)=0, SUM($M22:R22)&gt;$M22 ), " and ", " " )</f>
        <v xml:space="preserve"> </v>
      </c>
      <c r="T26" s="103" t="str">
        <f xml:space="preserve"> IF( AND( SUM( T22:$X22 )&gt;0, SUM(U22:$Y22)=0, SUM($M22:S22)&gt;$M22 ), " and ", " " )</f>
        <v xml:space="preserve"> </v>
      </c>
      <c r="U26" s="103" t="str">
        <f xml:space="preserve"> IF( AND( SUM( U22:$X22 )&gt;0, SUM(V22:$Y22)=0, SUM($M22:T22)&gt;$M22 ), " and ", " " )</f>
        <v xml:space="preserve"> </v>
      </c>
      <c r="V26" s="103" t="str">
        <f xml:space="preserve"> IF( AND( SUM( V22:$X22 )&gt;0, SUM(W22:$Y22)=0, SUM($M22:U22)&gt;$M22 ), " and ", " " )</f>
        <v xml:space="preserve"> </v>
      </c>
      <c r="W26" s="103" t="str">
        <f xml:space="preserve"> IF( AND( SUM( W22:$X22 )&gt;0, SUM(X22:$Y22)=0, SUM($M22:V22)&gt;$M22 ), " and ", " " )</f>
        <v xml:space="preserve"> </v>
      </c>
      <c r="X26" s="103" t="str">
        <f xml:space="preserve"> IF( AND( SUM( X22:$X22 )&gt;0, SUM(Y22:$Y22)=0, SUM($M22:W22)&gt;$M22 ), " and ", " " )</f>
        <v xml:space="preserve"> </v>
      </c>
      <c r="Y26" s="103" t="str">
        <f xml:space="preserve"> IF( AND( SUM( $X22:Y22 )&gt;0, SUM($Y22:Z22)=0, SUM($M22:X22)&gt;$M22 ), " and ", " " )</f>
        <v xml:space="preserve"> </v>
      </c>
      <c r="Z26" s="103"/>
    </row>
    <row r="27" spans="7:26">
      <c r="M27" s="103"/>
      <c r="N27" s="103" t="str">
        <f xml:space="preserve"> IF(  AND( SUM( $M22:M22 )&gt;$M22, COUNTIF( $N22:$Y22, "&gt;0" )&gt;2),  ",",  ""  )</f>
        <v/>
      </c>
      <c r="O27" s="103" t="str">
        <f xml:space="preserve"> IF(  AND( SUM( $M22:N22 )&gt;$M22, COUNTIF( $N22:$Y22, "&gt;0" )&gt;2),  ",",  ""  )</f>
        <v/>
      </c>
      <c r="P27" s="103" t="str">
        <f xml:space="preserve"> IF(  AND( SUM( $M22:O22 )&gt;$M22, COUNTIF( $N22:$Y22, "&gt;0" )&gt;2),  ",",  ""  )</f>
        <v>,</v>
      </c>
      <c r="Q27" s="103" t="str">
        <f xml:space="preserve"> IF(  AND( SUM( $M22:P22 )&gt;$M22, COUNTIF( $N22:$Y22, "&gt;0" )&gt;2),  ",",  ""  )</f>
        <v>,</v>
      </c>
      <c r="R27" s="103" t="str">
        <f xml:space="preserve"> IF(  AND( SUM( $M22:Q22 )&gt;$M22, COUNTIF( $N22:$Y22, "&gt;0" )&gt;2),  ",",  ""  )</f>
        <v>,</v>
      </c>
      <c r="S27" s="103" t="str">
        <f xml:space="preserve"> IF(  AND( SUM( $M22:R22 )&gt;$M22, COUNTIF( $N22:$Y22, "&gt;0" )&gt;2),  ",",  ""  )</f>
        <v>,</v>
      </c>
      <c r="T27" s="103" t="str">
        <f xml:space="preserve"> IF(  AND( SUM( $M22:S22 )&gt;$M22, COUNTIF( $N22:$Y22, "&gt;0" )&gt;2),  ",",  ""  )</f>
        <v>,</v>
      </c>
      <c r="U27" s="103" t="str">
        <f xml:space="preserve"> IF(  AND( SUM( $M22:T22 )&gt;$M22, COUNTIF( $N22:$Y22, "&gt;0" )&gt;2),  ",",  ""  )</f>
        <v>,</v>
      </c>
      <c r="V27" s="103" t="str">
        <f xml:space="preserve"> IF(  AND( SUM( $M22:U22 )&gt;$M22, COUNTIF( $N22:$Y22, "&gt;0" )&gt;2),  ",",  ""  )</f>
        <v>,</v>
      </c>
      <c r="W27" s="103" t="str">
        <f xml:space="preserve"> IF(  AND( SUM( $M22:V22 )&gt;$M22, COUNTIF( $N22:$Y22, "&gt;0" )&gt;2),  ",",  ""  )</f>
        <v>,</v>
      </c>
      <c r="X27" s="103" t="str">
        <f xml:space="preserve"> IF(  AND( SUM( $M22:W22 )&gt;$M22, COUNTIF( $N22:$Y22, "&gt;0" )&gt;2),  ",",  ""  )</f>
        <v>,</v>
      </c>
      <c r="Y27" s="103" t="str">
        <f xml:space="preserve"> IF(  AND( SUM( $M22:X22 )&gt;$M22, COUNTIF( $N22:$Y22, "&gt;0" )&gt;2),  ",",  ""  )</f>
        <v>,</v>
      </c>
      <c r="Z27" s="103"/>
    </row>
    <row r="28" spans="7:26">
      <c r="M28" s="103" t="str">
        <f xml:space="preserve"> CONCATENATE( M27 &amp; M26 &amp; M25 )</f>
        <v>three crew</v>
      </c>
      <c r="N28" s="103" t="str">
        <f xml:space="preserve"> CONCATENATE( N27 &amp; N26 &amp; N25 )</f>
        <v xml:space="preserve"> no officers</v>
      </c>
      <c r="O28" s="103" t="str">
        <f t="shared" ref="O28" si="6" xml:space="preserve"> CONCATENATE( O27 &amp; O26 &amp; O25 )</f>
        <v xml:space="preserve"> a pilot</v>
      </c>
      <c r="P28" s="103" t="str">
        <f t="shared" ref="P28:Y28" si="7" xml:space="preserve"> CONCATENATE( P27 &amp; P26 &amp; P25 )</f>
        <v>, an astrogator</v>
      </c>
      <c r="Q28" s="103" t="str">
        <f t="shared" si="7"/>
        <v>, no sensor operators</v>
      </c>
      <c r="R28" s="103" t="str">
        <f t="shared" si="7"/>
        <v>, and an engineer</v>
      </c>
      <c r="S28" s="103" t="str">
        <f t="shared" si="7"/>
        <v>, no service crew</v>
      </c>
      <c r="T28" s="103" t="str">
        <f t="shared" si="7"/>
        <v>, no specialists</v>
      </c>
      <c r="U28" s="103" t="str">
        <f t="shared" si="7"/>
        <v>, no gunners</v>
      </c>
      <c r="V28" s="103" t="str">
        <f t="shared" si="7"/>
        <v>, no flight crew</v>
      </c>
      <c r="W28" s="103" t="str">
        <f t="shared" si="7"/>
        <v>, no troops</v>
      </c>
      <c r="X28" s="103" t="str">
        <f t="shared" si="7"/>
        <v>, no none</v>
      </c>
      <c r="Y28" s="103" t="str">
        <f t="shared" si="7"/>
        <v>, no nones</v>
      </c>
      <c r="Z28" s="103"/>
    </row>
    <row r="29" spans="7:26">
      <c r="L29" s="92" t="str">
        <f>N29</f>
        <v xml:space="preserve"> a pilot, an astrogator, and an engineer. </v>
      </c>
      <c r="M29" s="103"/>
      <c r="N29" s="103" t="str">
        <f t="shared" ref="N29" si="8" xml:space="preserve"> CONCATENATE( IF( N22&gt;0, N28, "" ) &amp; O29 )</f>
        <v xml:space="preserve"> a pilot, an astrogator, and an engineer. </v>
      </c>
      <c r="O29" s="103" t="str">
        <f t="shared" ref="O29" si="9" xml:space="preserve"> CONCATENATE( IF( O22&gt;0, O28, "" ) &amp; P29 )</f>
        <v xml:space="preserve"> a pilot, an astrogator, and an engineer. </v>
      </c>
      <c r="P29" s="103" t="str">
        <f t="shared" ref="P29" si="10" xml:space="preserve"> CONCATENATE( IF( P22&gt;0, P28, "" ) &amp; Q29 )</f>
        <v xml:space="preserve">, an astrogator, and an engineer. </v>
      </c>
      <c r="Q29" s="103" t="str">
        <f t="shared" ref="Q29" si="11" xml:space="preserve"> CONCATENATE( IF( Q22&gt;0, Q28, "" ) &amp; R29 )</f>
        <v xml:space="preserve">, and an engineer. </v>
      </c>
      <c r="R29" s="103" t="str">
        <f t="shared" ref="R29" si="12" xml:space="preserve"> CONCATENATE( IF( R22&gt;0, R28, "" ) &amp; S29 )</f>
        <v xml:space="preserve">, and an engineer. </v>
      </c>
      <c r="S29" s="103" t="str">
        <f t="shared" ref="S29" si="13" xml:space="preserve"> CONCATENATE( IF( S22&gt;0, S28, "" ) &amp; T29 )</f>
        <v xml:space="preserve">. </v>
      </c>
      <c r="T29" s="103" t="str">
        <f t="shared" ref="T29" si="14" xml:space="preserve"> CONCATENATE( IF( T22&gt;0, T28, "" ) &amp; U29 )</f>
        <v xml:space="preserve">. </v>
      </c>
      <c r="U29" s="103" t="str">
        <f t="shared" ref="U29" si="15" xml:space="preserve"> CONCATENATE( IF( U22&gt;0, U28, "" ) &amp; V29 )</f>
        <v xml:space="preserve">. </v>
      </c>
      <c r="V29" s="103" t="str">
        <f t="shared" ref="V29" si="16" xml:space="preserve"> CONCATENATE( IF( V22&gt;0, V28, "" ) &amp; W29 )</f>
        <v xml:space="preserve">. </v>
      </c>
      <c r="W29" s="103" t="str">
        <f t="shared" ref="W29" si="17" xml:space="preserve"> CONCATENATE( IF( W22&gt;0, W28, "" ) &amp; X29 )</f>
        <v xml:space="preserve">. </v>
      </c>
      <c r="X29" s="103" t="str">
        <f t="shared" ref="X29" si="18" xml:space="preserve"> CONCATENATE( IF( X22&gt;0, X28, "" ) &amp; Y29 )</f>
        <v xml:space="preserve">. </v>
      </c>
      <c r="Y29" s="103" t="str">
        <f t="shared" ref="Y29" si="19" xml:space="preserve"> CONCATENATE( IF( Y22&gt;0, Y28, "" ) &amp; Z29 )</f>
        <v xml:space="preserve">. </v>
      </c>
      <c r="Z29" s="103" t="str">
        <f>". "</f>
        <v xml:space="preserve">. </v>
      </c>
    </row>
    <row r="31" spans="7:26">
      <c r="L31" s="92" t="str">
        <f xml:space="preserve"> IF( MAX(Ship!$AT$54:$AT$60)&gt;0, CONCATENATE( IF(SUM(Ship!$AS$54:$AS$60)&gt;1," all","") &amp; " with holographic controls"), "" )</f>
        <v xml:space="preserve"> with holographic controls</v>
      </c>
    </row>
    <row r="32" spans="7:26">
      <c r="J32" s="92">
        <f>COLUMN(M32)</f>
        <v>13</v>
      </c>
      <c r="L32" s="92" t="s">
        <v>280</v>
      </c>
      <c r="M32" s="104" t="s">
        <v>723</v>
      </c>
      <c r="N32" s="104" t="str">
        <f xml:space="preserve">  LOWER( IFERROR( T( INDEX( Ship!$A$54:$AU$60, COLUMN(N32)-13, 1 ) ), "none" ) )</f>
        <v/>
      </c>
      <c r="O32" s="104" t="str">
        <f xml:space="preserve">  LOWER( IFERROR( T( INDEX( Ship!$A$54:$AU$60, COLUMN(O32)-13, 1 ) ), "none" ) )</f>
        <v>bridge</v>
      </c>
      <c r="P32" s="104" t="str">
        <f xml:space="preserve">  LOWER( IFERROR( T( INDEX( Ship!$A$54:$AU$60, COLUMN(P32)-13, 1 ) ), "none" ) )</f>
        <v>sub-command centre</v>
      </c>
      <c r="Q32" s="104" t="str">
        <f xml:space="preserve">  LOWER( IFERROR( T( INDEX( Ship!$A$54:$AU$60, COLUMN(Q32)-13, 1 ) ), "none" ) )</f>
        <v xml:space="preserve">    +holographic controls</v>
      </c>
      <c r="R32" s="104" t="str">
        <f xml:space="preserve">  LOWER( IFERROR( T( INDEX( Ship!$A$54:$AU$60, COLUMN(R32)-13, 1 ) ), "none" ) )</f>
        <v>comp</v>
      </c>
      <c r="S32" s="104" t="str">
        <f xml:space="preserve">  LOWER( IFERROR( T( INDEX( Ship!$A$54:$AU$60, COLUMN(S32)-13, 1 ) ), "none" ) )</f>
        <v>backup comp</v>
      </c>
      <c r="T32" s="104" t="str">
        <f xml:space="preserve">  LOWER( IFERROR( T( INDEX( Ship!$A$54:$AU$60, COLUMN(T32)-13, 1 ) ), "none" ) )</f>
        <v/>
      </c>
      <c r="U32" s="104" t="str">
        <f xml:space="preserve">  LOWER( IFERROR( T( INDEX( Ship!$A$54:$AU$60, COLUMN(U32)-13, 1 ) ), "none" ) )</f>
        <v>none</v>
      </c>
      <c r="V32" s="104" t="str">
        <f xml:space="preserve">  LOWER( IFERROR( T( INDEX( Ship!$A$54:$AU$60, COLUMN(V32)-13, 1 ) ), "none" ) )</f>
        <v>none</v>
      </c>
      <c r="W32" s="104" t="str">
        <f xml:space="preserve">  LOWER( IFERROR( T( INDEX( Ship!$A$54:$AU$60, COLUMN(W32)-13, 1 ) ), "none" ) )</f>
        <v>none</v>
      </c>
      <c r="X32" s="104" t="str">
        <f xml:space="preserve">  LOWER( IFERROR( T( INDEX( Ship!$A$54:$AU$60, COLUMN(X32)-13, 1 ) ), "none" ) )</f>
        <v>none</v>
      </c>
      <c r="Y32" s="104" t="str">
        <f xml:space="preserve">  LOWER( IFERROR( T( INDEX( Ship!$A$54:$AU$60, COLUMN(Y32)-13, 1 ) ), "none" ) )</f>
        <v>none</v>
      </c>
      <c r="Z32" s="103"/>
    </row>
    <row r="33" spans="12:26">
      <c r="L33" s="92" t="s">
        <v>279</v>
      </c>
      <c r="M33" s="104" t="str">
        <f xml:space="preserve"> IF( IFERROR( SEARCH( LOWER( LEFT( M32, 1 ) ), vowels ), 0 )&gt;0, "an", "a" )</f>
        <v>a</v>
      </c>
      <c r="N33" s="104" t="str">
        <f t="shared" ref="N33:Y33" si="20" xml:space="preserve"> IF( IFERROR( SEARCH( LOWER( LEFT( N32, 1 ) ), vowels ), 0 )&gt;0, "an", "a" )</f>
        <v>an</v>
      </c>
      <c r="O33" s="104" t="str">
        <f t="shared" si="20"/>
        <v>a</v>
      </c>
      <c r="P33" s="104" t="str">
        <f t="shared" si="20"/>
        <v>a</v>
      </c>
      <c r="Q33" s="104" t="str">
        <f t="shared" si="20"/>
        <v>a</v>
      </c>
      <c r="R33" s="104" t="str">
        <f t="shared" si="20"/>
        <v>a</v>
      </c>
      <c r="S33" s="104" t="str">
        <f t="shared" si="20"/>
        <v>a</v>
      </c>
      <c r="T33" s="104" t="str">
        <f t="shared" si="20"/>
        <v>an</v>
      </c>
      <c r="U33" s="104" t="str">
        <f t="shared" si="20"/>
        <v>a</v>
      </c>
      <c r="V33" s="104" t="str">
        <f t="shared" si="20"/>
        <v>a</v>
      </c>
      <c r="W33" s="104" t="str">
        <f t="shared" si="20"/>
        <v>a</v>
      </c>
      <c r="X33" s="104" t="str">
        <f t="shared" si="20"/>
        <v>a</v>
      </c>
      <c r="Y33" s="104" t="str">
        <f t="shared" si="20"/>
        <v>a</v>
      </c>
      <c r="Z33" s="103"/>
    </row>
    <row r="34" spans="12:26">
      <c r="M34" s="104" t="s">
        <v>455</v>
      </c>
      <c r="N34" s="104" t="s">
        <v>455</v>
      </c>
      <c r="O34" s="104" t="s">
        <v>455</v>
      </c>
      <c r="P34" s="104" t="s">
        <v>455</v>
      </c>
      <c r="Q34" s="104" t="s">
        <v>455</v>
      </c>
      <c r="R34" s="104" t="s">
        <v>455</v>
      </c>
      <c r="S34" s="104" t="s">
        <v>455</v>
      </c>
      <c r="T34" s="104" t="s">
        <v>455</v>
      </c>
      <c r="U34" s="104" t="s">
        <v>455</v>
      </c>
      <c r="V34" s="104" t="s">
        <v>455</v>
      </c>
      <c r="W34" s="104" t="s">
        <v>455</v>
      </c>
      <c r="X34" s="104" t="s">
        <v>455</v>
      </c>
      <c r="Y34" s="104" t="s">
        <v>455</v>
      </c>
      <c r="Z34" s="103"/>
    </row>
    <row r="35" spans="12:26">
      <c r="L35" s="92">
        <f>M35</f>
        <v>1</v>
      </c>
      <c r="M35" s="103">
        <f>SUM( N35:Y35 )</f>
        <v>1</v>
      </c>
      <c r="N35" s="104">
        <f xml:space="preserve"> IFERROR( N( INDEX( Ship!$A$54:$AU$60, COLUMN(N35)-13, 45 ) ), 0 )</f>
        <v>0</v>
      </c>
      <c r="O35" s="104">
        <f xml:space="preserve"> IFERROR( N( INDEX( Ship!$A$54:$AU$60, COLUMN(O35)-13, 45 ) ), 0 )</f>
        <v>1</v>
      </c>
      <c r="P35" s="104">
        <f xml:space="preserve"> IFERROR( N( INDEX( Ship!$A$54:$AU$60, COLUMN(P35)-13, 45 ) ), 0 )</f>
        <v>0</v>
      </c>
      <c r="Q35" s="104">
        <f xml:space="preserve"> IFERROR( N( INDEX( Ship!$A$54:$AU$60, COLUMN(Q35)-13, 45 ) ), 0 )</f>
        <v>0</v>
      </c>
      <c r="R35" s="104">
        <f xml:space="preserve"> IFERROR( N( INDEX( Ship!$A$54:$AU$60, COLUMN(R35)-13, 45 ) ), 0 )</f>
        <v>0</v>
      </c>
      <c r="S35" s="104">
        <f xml:space="preserve"> IFERROR( N( INDEX( Ship!$A$54:$AU$60, COLUMN(S35)-13, 45 ) ), 0 )</f>
        <v>0</v>
      </c>
      <c r="T35" s="104">
        <f xml:space="preserve"> IFERROR( N( INDEX( Ship!$A$54:$AU$60, COLUMN(T35)-13, 45 ) ), 0 )</f>
        <v>0</v>
      </c>
      <c r="U35" s="104">
        <f xml:space="preserve"> IFERROR( N( INDEX( Ship!$A$54:$AU$60, COLUMN(U35)-13, 45 ) ), 0 )</f>
        <v>0</v>
      </c>
      <c r="V35" s="104">
        <f xml:space="preserve"> IFERROR( N( INDEX( Ship!$A$54:$AU$60, COLUMN(V35)-13, 45 ) ), 0 )</f>
        <v>0</v>
      </c>
      <c r="W35" s="104">
        <f xml:space="preserve"> IFERROR( N( INDEX( Ship!$A$54:$AU$60, COLUMN(W35)-13, 45 ) ), 0 )</f>
        <v>0</v>
      </c>
      <c r="X35" s="104">
        <f xml:space="preserve"> IFERROR( N( INDEX( Ship!$A$54:$AU$60, COLUMN(X35)-13, 45 ) ), 0 )</f>
        <v>0</v>
      </c>
      <c r="Y35" s="104">
        <f xml:space="preserve"> IFERROR( N( INDEX( Ship!$A$54:$AU$60, COLUMN(Y35)-13, 45 ) ), 0 )</f>
        <v>0</v>
      </c>
      <c r="Z35" s="103"/>
    </row>
    <row r="36" spans="12:26">
      <c r="L36" s="92" t="str">
        <f xml:space="preserve"> IF( L35=0, "no", IF( L35=1, L33, IF( L35&lt;=12, VLOOKUP( L35, Tables!$B$2:$D$36, 3 ), L35 ) ) )</f>
        <v>one</v>
      </c>
      <c r="M36" s="104" t="str">
        <f xml:space="preserve"> IF( M35=0, "no", IF( M35=1, M33, IF( M35&lt;=12, VLOOKUP( M35, Tables!$B$2:$D$36, 3 ), M35 ) ) )</f>
        <v>a</v>
      </c>
      <c r="N36" s="104" t="str">
        <f xml:space="preserve"> IF( N35=0, "no", IF( N35=1, N33, IF( N35&lt;=12, VLOOKUP( N35, Tables!$B$2:$D$36, 3 ), N35 ) ) )</f>
        <v>no</v>
      </c>
      <c r="O36" s="104" t="str">
        <f xml:space="preserve"> IF( O35=0, "no", IF( O35=1, O33, IF( O35&lt;=12, VLOOKUP( O35, Tables!$B$2:$D$36, 3 ), O35 ) ) )</f>
        <v>a</v>
      </c>
      <c r="P36" s="104" t="str">
        <f xml:space="preserve"> IF( P35=0, "no", IF( P35=1, P33, IF( P35&lt;=12, VLOOKUP( P35, Tables!$B$2:$D$36, 3 ), P35 ) ) )</f>
        <v>no</v>
      </c>
      <c r="Q36" s="104" t="str">
        <f xml:space="preserve"> IF( Q35=0, "no", IF( Q35=1, Q33, IF( Q35&lt;=12, VLOOKUP( Q35, Tables!$B$2:$D$36, 3 ), Q35 ) ) )</f>
        <v>no</v>
      </c>
      <c r="R36" s="104" t="str">
        <f xml:space="preserve"> IF( R35=0, "no", IF( R35=1, R33, IF( R35&lt;=12, VLOOKUP( R35, Tables!$B$2:$D$36, 3 ), R35 ) ) )</f>
        <v>no</v>
      </c>
      <c r="S36" s="104" t="str">
        <f xml:space="preserve"> IF( S35=0, "no", IF( S35=1, S33, IF( S35&lt;=12, VLOOKUP( S35, Tables!$B$2:$D$36, 3 ), S35 ) ) )</f>
        <v>no</v>
      </c>
      <c r="T36" s="104" t="str">
        <f xml:space="preserve"> IF( T35=0, "no", IF( T35=1, T33, IF( T35&lt;=12, VLOOKUP( T35, Tables!$B$2:$D$36, 3 ), T35 ) ) )</f>
        <v>no</v>
      </c>
      <c r="U36" s="104" t="str">
        <f xml:space="preserve"> IF( U35=0, "no", IF( U35=1, U33, IF( U35&lt;=12, VLOOKUP( U35, Tables!$B$2:$D$36, 3 ), U35 ) ) )</f>
        <v>no</v>
      </c>
      <c r="V36" s="104" t="str">
        <f xml:space="preserve"> IF( V35=0, "no", IF( V35=1, V33, IF( V35&lt;=12, VLOOKUP( V35, Tables!$B$2:$D$36, 3 ), V35 ) ) )</f>
        <v>no</v>
      </c>
      <c r="W36" s="104" t="str">
        <f xml:space="preserve"> IF( W35=0, "no", IF( W35=1, W33, IF( W35&lt;=12, VLOOKUP( W35, Tables!$B$2:$D$36, 3 ), W35 ) ) )</f>
        <v>no</v>
      </c>
      <c r="X36" s="104" t="str">
        <f xml:space="preserve"> IF( X35=0, "no", IF( X35=1, X33, IF( X35&lt;=12, VLOOKUP( X35, Tables!$B$2:$D$36, 3 ), X35 ) ) )</f>
        <v>no</v>
      </c>
      <c r="Y36" s="104" t="str">
        <f xml:space="preserve"> IF( Y35=0, "no", IF( Y35=1, Y33, IF( Y35&lt;=12, VLOOKUP( Y35, Tables!$B$2:$D$36, 3 ), Y35 ) ) )</f>
        <v>no</v>
      </c>
      <c r="Z36" s="103"/>
    </row>
    <row r="37" spans="12:26">
      <c r="M37" s="104" t="str">
        <f xml:space="preserve"> IF( M35&lt;&gt;1, T(M34), "" )</f>
        <v/>
      </c>
      <c r="N37" s="104" t="str">
        <f t="shared" ref="N37:Y37" si="21" xml:space="preserve"> IF( N35&lt;&gt;1, T(N34), "" )</f>
        <v>s</v>
      </c>
      <c r="O37" s="104" t="str">
        <f t="shared" si="21"/>
        <v/>
      </c>
      <c r="P37" s="104" t="str">
        <f t="shared" si="21"/>
        <v>s</v>
      </c>
      <c r="Q37" s="104" t="str">
        <f t="shared" si="21"/>
        <v>s</v>
      </c>
      <c r="R37" s="104" t="str">
        <f t="shared" si="21"/>
        <v>s</v>
      </c>
      <c r="S37" s="104" t="str">
        <f t="shared" si="21"/>
        <v>s</v>
      </c>
      <c r="T37" s="104" t="str">
        <f t="shared" si="21"/>
        <v>s</v>
      </c>
      <c r="U37" s="104" t="str">
        <f t="shared" si="21"/>
        <v>s</v>
      </c>
      <c r="V37" s="104" t="str">
        <f t="shared" si="21"/>
        <v>s</v>
      </c>
      <c r="W37" s="104" t="str">
        <f t="shared" si="21"/>
        <v>s</v>
      </c>
      <c r="X37" s="104" t="str">
        <f t="shared" si="21"/>
        <v>s</v>
      </c>
      <c r="Y37" s="104" t="str">
        <f t="shared" si="21"/>
        <v>s</v>
      </c>
      <c r="Z37" s="103"/>
    </row>
    <row r="38" spans="12:26">
      <c r="M38" s="103" t="str">
        <f t="shared" ref="M38:Y38" si="22" xml:space="preserve"> CONCATENATE( M36 &amp; " " &amp; M32 &amp; M37 )</f>
        <v>a bridge</v>
      </c>
      <c r="N38" s="103" t="str">
        <f t="shared" si="22"/>
        <v>no s</v>
      </c>
      <c r="O38" s="103" t="str">
        <f t="shared" si="22"/>
        <v>a bridge</v>
      </c>
      <c r="P38" s="103" t="str">
        <f t="shared" si="22"/>
        <v>no sub-command centres</v>
      </c>
      <c r="Q38" s="103" t="str">
        <f t="shared" si="22"/>
        <v>no     +holographic controlss</v>
      </c>
      <c r="R38" s="103" t="str">
        <f t="shared" si="22"/>
        <v>no comps</v>
      </c>
      <c r="S38" s="103" t="str">
        <f t="shared" si="22"/>
        <v>no backup comps</v>
      </c>
      <c r="T38" s="103" t="str">
        <f t="shared" si="22"/>
        <v>no s</v>
      </c>
      <c r="U38" s="103" t="str">
        <f t="shared" si="22"/>
        <v>no nones</v>
      </c>
      <c r="V38" s="103" t="str">
        <f t="shared" si="22"/>
        <v>no nones</v>
      </c>
      <c r="W38" s="103" t="str">
        <f t="shared" si="22"/>
        <v>no nones</v>
      </c>
      <c r="X38" s="103" t="str">
        <f t="shared" si="22"/>
        <v>no nones</v>
      </c>
      <c r="Y38" s="103" t="str">
        <f t="shared" si="22"/>
        <v>no nones</v>
      </c>
      <c r="Z38" s="103"/>
    </row>
    <row r="39" spans="12:26">
      <c r="M39" s="103"/>
      <c r="N39" s="103" t="str">
        <f xml:space="preserve"> IF( AND( SUM( N35:$X35 )&gt;0, SUM(O35:$Y35)=0, SUM($M35:M35)&gt;$M35 ), " and ", " " )</f>
        <v xml:space="preserve"> </v>
      </c>
      <c r="O39" s="103" t="str">
        <f xml:space="preserve"> IF( AND( SUM( O35:$X35 )&gt;0, SUM(P35:$Y35)=0, SUM($M35:N35)&gt;$M35 ), " and ", " " )</f>
        <v xml:space="preserve"> </v>
      </c>
      <c r="P39" s="103" t="str">
        <f xml:space="preserve"> IF( AND( SUM( P35:$X35 )&gt;0, SUM(Q35:$Y35)=0, SUM($M35:O35)&gt;$M35 ), " and ", " " )</f>
        <v xml:space="preserve"> </v>
      </c>
      <c r="Q39" s="103" t="str">
        <f xml:space="preserve"> IF( AND( SUM( Q35:$X35 )&gt;0, SUM(R35:$Y35)=0, SUM($M35:P35)&gt;$M35 ), " and ", " " )</f>
        <v xml:space="preserve"> </v>
      </c>
      <c r="R39" s="103" t="str">
        <f xml:space="preserve"> IF( AND( SUM( R35:$X35 )&gt;0, SUM(S35:$Y35)=0, SUM($M35:Q35)&gt;$M35 ), " and ", " " )</f>
        <v xml:space="preserve"> </v>
      </c>
      <c r="S39" s="103" t="str">
        <f xml:space="preserve"> IF( AND( SUM( S35:$X35 )&gt;0, SUM(T35:$Y35)=0, SUM($M35:R35)&gt;$M35 ), " and ", " " )</f>
        <v xml:space="preserve"> </v>
      </c>
      <c r="T39" s="103" t="str">
        <f xml:space="preserve"> IF( AND( SUM( T35:$X35 )&gt;0, SUM(U35:$Y35)=0, SUM($M35:S35)&gt;$M35 ), " and ", " " )</f>
        <v xml:space="preserve"> </v>
      </c>
      <c r="U39" s="103" t="str">
        <f xml:space="preserve"> IF( AND( SUM( U35:$X35 )&gt;0, SUM(V35:$Y35)=0, SUM($M35:T35)&gt;$M35 ), " and ", " " )</f>
        <v xml:space="preserve"> </v>
      </c>
      <c r="V39" s="103" t="str">
        <f xml:space="preserve"> IF( AND( SUM( V35:$X35 )&gt;0, SUM(W35:$Y35)=0, SUM($M35:U35)&gt;$M35 ), " and ", " " )</f>
        <v xml:space="preserve"> </v>
      </c>
      <c r="W39" s="103" t="str">
        <f xml:space="preserve"> IF( AND( SUM( W35:$X35 )&gt;0, SUM(X35:$Y35)=0, SUM($M35:V35)&gt;$M35 ), " and ", " " )</f>
        <v xml:space="preserve"> </v>
      </c>
      <c r="X39" s="103" t="str">
        <f xml:space="preserve"> IF( AND( SUM( X35:$X35 )&gt;0, SUM(Y35:$Y35)=0, SUM($M35:W35)&gt;$M35 ), " and ", " " )</f>
        <v xml:space="preserve"> </v>
      </c>
      <c r="Y39" s="103" t="str">
        <f xml:space="preserve"> IF( AND( SUM( $X35:Y35 )&gt;0, SUM($Y35:Z35)=0, SUM($M35:X35)&gt;$M35 ), " and ", " " )</f>
        <v xml:space="preserve"> </v>
      </c>
      <c r="Z39" s="103"/>
    </row>
    <row r="40" spans="12:26">
      <c r="M40" s="103"/>
      <c r="N40" s="103" t="str">
        <f xml:space="preserve"> IF(  AND( SUM( $M35:M35 )&gt;$M35, COUNTIF( $N35:$Y35, "&gt;0" )&gt;2),  ",",  ""  )</f>
        <v/>
      </c>
      <c r="O40" s="103" t="str">
        <f xml:space="preserve"> IF(  AND( SUM( $M35:N35 )&gt;$M35, COUNTIF( $N35:$Y35, "&gt;0" )&gt;2),  ",",  ""  )</f>
        <v/>
      </c>
      <c r="P40" s="103" t="str">
        <f xml:space="preserve"> IF(  AND( SUM( $M35:O35 )&gt;$M35, COUNTIF( $N35:$Y35, "&gt;0" )&gt;2),  ",",  ""  )</f>
        <v/>
      </c>
      <c r="Q40" s="103" t="str">
        <f xml:space="preserve"> IF(  AND( SUM( $M35:P35 )&gt;$M35, COUNTIF( $N35:$Y35, "&gt;0" )&gt;2),  ",",  ""  )</f>
        <v/>
      </c>
      <c r="R40" s="103" t="str">
        <f xml:space="preserve"> IF(  AND( SUM( $M35:Q35 )&gt;$M35, COUNTIF( $N35:$Y35, "&gt;0" )&gt;2),  ",",  ""  )</f>
        <v/>
      </c>
      <c r="S40" s="103" t="str">
        <f xml:space="preserve"> IF(  AND( SUM( $M35:R35 )&gt;$M35, COUNTIF( $N35:$Y35, "&gt;0" )&gt;2),  ",",  ""  )</f>
        <v/>
      </c>
      <c r="T40" s="103" t="str">
        <f xml:space="preserve"> IF(  AND( SUM( $M35:S35 )&gt;$M35, COUNTIF( $N35:$Y35, "&gt;0" )&gt;2),  ",",  ""  )</f>
        <v/>
      </c>
      <c r="U40" s="103" t="str">
        <f xml:space="preserve"> IF(  AND( SUM( $M35:T35 )&gt;$M35, COUNTIF( $N35:$Y35, "&gt;0" )&gt;2),  ",",  ""  )</f>
        <v/>
      </c>
      <c r="V40" s="103" t="str">
        <f xml:space="preserve"> IF(  AND( SUM( $M35:U35 )&gt;$M35, COUNTIF( $N35:$Y35, "&gt;0" )&gt;2),  ",",  ""  )</f>
        <v/>
      </c>
      <c r="W40" s="103" t="str">
        <f xml:space="preserve"> IF(  AND( SUM( $M35:V35 )&gt;$M35, COUNTIF( $N35:$Y35, "&gt;0" )&gt;2),  ",",  ""  )</f>
        <v/>
      </c>
      <c r="X40" s="103" t="str">
        <f xml:space="preserve"> IF(  AND( SUM( $M35:W35 )&gt;$M35, COUNTIF( $N35:$Y35, "&gt;0" )&gt;2),  ",",  ""  )</f>
        <v/>
      </c>
      <c r="Y40" s="103" t="str">
        <f xml:space="preserve"> IF(  AND( SUM( $M35:X35 )&gt;$M35, COUNTIF( $N35:$Y35, "&gt;0" )&gt;2),  ",",  ""  )</f>
        <v/>
      </c>
      <c r="Z40" s="103"/>
    </row>
    <row r="41" spans="12:26">
      <c r="M41" s="103" t="str">
        <f xml:space="preserve"> CONCATENATE( M40 &amp; M39 &amp; M38 )</f>
        <v>a bridge</v>
      </c>
      <c r="N41" s="103" t="str">
        <f xml:space="preserve"> CONCATENATE( N40 &amp; N39 &amp; N38 )</f>
        <v xml:space="preserve"> no s</v>
      </c>
      <c r="O41" s="103" t="str">
        <f t="shared" ref="O41:Y41" si="23" xml:space="preserve"> CONCATENATE( O40 &amp; O39 &amp; O38 )</f>
        <v xml:space="preserve"> a bridge</v>
      </c>
      <c r="P41" s="103" t="str">
        <f t="shared" si="23"/>
        <v xml:space="preserve"> no sub-command centres</v>
      </c>
      <c r="Q41" s="103" t="str">
        <f t="shared" si="23"/>
        <v xml:space="preserve"> no     +holographic controlss</v>
      </c>
      <c r="R41" s="103" t="str">
        <f t="shared" si="23"/>
        <v xml:space="preserve"> no comps</v>
      </c>
      <c r="S41" s="103" t="str">
        <f t="shared" si="23"/>
        <v xml:space="preserve"> no backup comps</v>
      </c>
      <c r="T41" s="103" t="str">
        <f t="shared" si="23"/>
        <v xml:space="preserve"> no s</v>
      </c>
      <c r="U41" s="103" t="str">
        <f t="shared" si="23"/>
        <v xml:space="preserve"> no nones</v>
      </c>
      <c r="V41" s="103" t="str">
        <f t="shared" si="23"/>
        <v xml:space="preserve"> no nones</v>
      </c>
      <c r="W41" s="103" t="str">
        <f t="shared" si="23"/>
        <v xml:space="preserve"> no nones</v>
      </c>
      <c r="X41" s="103" t="str">
        <f t="shared" si="23"/>
        <v xml:space="preserve"> no nones</v>
      </c>
      <c r="Y41" s="103" t="str">
        <f t="shared" si="23"/>
        <v xml:space="preserve"> no nones</v>
      </c>
      <c r="Z41" s="103"/>
    </row>
    <row r="42" spans="12:26">
      <c r="L42" s="92" t="str">
        <f>N42</f>
        <v xml:space="preserve"> a bridge with holographic controls. </v>
      </c>
      <c r="M42" s="103"/>
      <c r="N42" s="103" t="str">
        <f t="shared" ref="N42" si="24" xml:space="preserve"> CONCATENATE( IF( N35&gt;0, N41, "" ) &amp; O42 )</f>
        <v xml:space="preserve"> a bridge with holographic controls. </v>
      </c>
      <c r="O42" s="103" t="str">
        <f t="shared" ref="O42" si="25" xml:space="preserve"> CONCATENATE( IF( O35&gt;0, O41, "" ) &amp; P42 )</f>
        <v xml:space="preserve"> a bridge with holographic controls. </v>
      </c>
      <c r="P42" s="103" t="str">
        <f t="shared" ref="P42" si="26" xml:space="preserve"> CONCATENATE( IF( P35&gt;0, P41, "" ) &amp; Q42 )</f>
        <v xml:space="preserve"> with holographic controls. </v>
      </c>
      <c r="Q42" s="103" t="str">
        <f t="shared" ref="Q42" si="27" xml:space="preserve"> CONCATENATE( IF( Q35&gt;0, Q41, "" ) &amp; R42 )</f>
        <v xml:space="preserve"> with holographic controls. </v>
      </c>
      <c r="R42" s="103" t="str">
        <f t="shared" ref="R42" si="28" xml:space="preserve"> CONCATENATE( IF( R35&gt;0, R41, "" ) &amp; S42 )</f>
        <v xml:space="preserve"> with holographic controls. </v>
      </c>
      <c r="S42" s="103" t="str">
        <f t="shared" ref="S42" si="29" xml:space="preserve"> CONCATENATE( IF( S35&gt;0, S41, "" ) &amp; T42 )</f>
        <v xml:space="preserve"> with holographic controls. </v>
      </c>
      <c r="T42" s="103" t="str">
        <f t="shared" ref="T42" si="30" xml:space="preserve"> CONCATENATE( IF( T35&gt;0, T41, "" ) &amp; U42 )</f>
        <v xml:space="preserve"> with holographic controls. </v>
      </c>
      <c r="U42" s="103" t="str">
        <f t="shared" ref="U42" si="31" xml:space="preserve"> CONCATENATE( IF( U35&gt;0, U41, "" ) &amp; V42 )</f>
        <v xml:space="preserve"> with holographic controls. </v>
      </c>
      <c r="V42" s="103" t="str">
        <f t="shared" ref="V42" si="32" xml:space="preserve"> CONCATENATE( IF( V35&gt;0, V41, "" ) &amp; W42 )</f>
        <v xml:space="preserve"> with holographic controls. </v>
      </c>
      <c r="W42" s="103" t="str">
        <f t="shared" ref="W42" si="33" xml:space="preserve"> CONCATENATE( IF( W35&gt;0, W41, "" ) &amp; X42 )</f>
        <v xml:space="preserve"> with holographic controls. </v>
      </c>
      <c r="X42" s="103" t="str">
        <f t="shared" ref="X42" si="34" xml:space="preserve"> CONCATENATE( IF( X35&gt;0, X41, "" ) &amp; Y42 )</f>
        <v xml:space="preserve"> with holographic controls. </v>
      </c>
      <c r="Y42" s="103" t="str">
        <f t="shared" ref="Y42" si="35" xml:space="preserve"> CONCATENATE( IF( Y35&gt;0, Y41, "" ) &amp; Z42 )</f>
        <v xml:space="preserve"> with holographic controls. </v>
      </c>
      <c r="Z42" s="103" t="str">
        <f xml:space="preserve"> CONCATENATE( IF( M35&gt;0, L31, "" ) &amp; ". " )</f>
        <v xml:space="preserve"> with holographic controls. </v>
      </c>
    </row>
    <row r="45" spans="12:26">
      <c r="L45" s="92" t="s">
        <v>205</v>
      </c>
      <c r="M45" s="103" t="s">
        <v>206</v>
      </c>
      <c r="N45" s="104" t="str">
        <f xml:space="preserve"> IFERROR( T( INDEX( Ship!$A$54:$AU$60, COLUMN(N45)-13, 2 ) ), "none" )</f>
        <v/>
      </c>
      <c r="O45" s="104" t="str">
        <f xml:space="preserve"> IFERROR( T( INDEX( Ship!$A$54:$AU$60, COLUMN(O45)-13, 2 ) ), "none" )</f>
        <v/>
      </c>
      <c r="P45" s="104" t="str">
        <f xml:space="preserve"> IFERROR( T( INDEX( Ship!$A$54:$AU$60, COLUMN(P45)-13, 2 ) ), "none" )</f>
        <v/>
      </c>
      <c r="Q45" s="104" t="str">
        <f xml:space="preserve"> IFERROR( T( INDEX( Ship!$A$54:$AU$60, COLUMN(Q45)-13, 2 ) ), "none" )</f>
        <v/>
      </c>
      <c r="R45" s="104" t="str">
        <f xml:space="preserve"> IFERROR( T( INDEX( Ship!$A$54:$AU$60, COLUMN(R45)-13, 2 ) ), "none" )</f>
        <v>m/10</v>
      </c>
      <c r="S45" s="104" t="str">
        <f xml:space="preserve"> IFERROR( T( INDEX( Ship!$A$54:$AU$60, COLUMN(S45)-13, 2 ) ), "none" )</f>
        <v>m/5/bis</v>
      </c>
      <c r="T45" s="104" t="str">
        <f xml:space="preserve"> IFERROR( T( INDEX( Ship!$A$54:$AU$60, COLUMN(T45)-13, 2 ) ), "none" )</f>
        <v/>
      </c>
      <c r="U45" s="104" t="str">
        <f xml:space="preserve"> IFERROR( T( INDEX( Ship!$A$54:$AU$60, COLUMN(U45)-13, 2 ) ), "none" )</f>
        <v>none</v>
      </c>
      <c r="V45" s="104" t="str">
        <f xml:space="preserve"> IFERROR( T( INDEX( Ship!$A$54:$AU$60, COLUMN(V45)-13, 2 ) ), "none" )</f>
        <v>none</v>
      </c>
      <c r="W45" s="104" t="str">
        <f xml:space="preserve"> IFERROR( T( INDEX( Ship!$A$54:$AU$60, COLUMN(W45)-13, 2 ) ), "none" )</f>
        <v>none</v>
      </c>
      <c r="X45" s="104" t="str">
        <f xml:space="preserve"> IFERROR( T( INDEX( Ship!$A$54:$AU$60, COLUMN(X45)-13, 2 ) ), "none" )</f>
        <v>none</v>
      </c>
      <c r="Y45" s="104" t="str">
        <f xml:space="preserve"> IFERROR( T( INDEX( Ship!$A$54:$AU$60, COLUMN(Y45)-13, 2 ) ), "none" )</f>
        <v>none</v>
      </c>
      <c r="Z45" s="103"/>
    </row>
    <row r="46" spans="12:26">
      <c r="L46" s="92" t="s">
        <v>279</v>
      </c>
      <c r="M46" s="104" t="str">
        <f xml:space="preserve"> IF( IFERROR( SEARCH( LOWER( LEFT( M45, 1 ) ), vowels ), 0 )&gt;0, "an", "a" )</f>
        <v>a</v>
      </c>
      <c r="N46" s="104" t="str">
        <f t="shared" ref="N46:Y46" si="36" xml:space="preserve"> IF( IFERROR( SEARCH( LOWER( LEFT( N45, 1 ) ), vowels ), 0 )&gt;0, "an", "a" )</f>
        <v>an</v>
      </c>
      <c r="O46" s="104" t="str">
        <f t="shared" si="36"/>
        <v>an</v>
      </c>
      <c r="P46" s="104" t="str">
        <f t="shared" si="36"/>
        <v>an</v>
      </c>
      <c r="Q46" s="104" t="str">
        <f t="shared" si="36"/>
        <v>an</v>
      </c>
      <c r="R46" s="104" t="str">
        <f t="shared" si="36"/>
        <v>a</v>
      </c>
      <c r="S46" s="104" t="str">
        <f t="shared" si="36"/>
        <v>a</v>
      </c>
      <c r="T46" s="104" t="str">
        <f t="shared" si="36"/>
        <v>an</v>
      </c>
      <c r="U46" s="104" t="str">
        <f t="shared" si="36"/>
        <v>a</v>
      </c>
      <c r="V46" s="104" t="str">
        <f t="shared" si="36"/>
        <v>a</v>
      </c>
      <c r="W46" s="104" t="str">
        <f t="shared" si="36"/>
        <v>a</v>
      </c>
      <c r="X46" s="104" t="str">
        <f t="shared" si="36"/>
        <v>a</v>
      </c>
      <c r="Y46" s="104" t="str">
        <f t="shared" si="36"/>
        <v>a</v>
      </c>
      <c r="Z46" s="103"/>
    </row>
    <row r="47" spans="12:26">
      <c r="M47" s="104" t="s">
        <v>455</v>
      </c>
      <c r="N47" s="104" t="s">
        <v>455</v>
      </c>
      <c r="O47" s="104" t="s">
        <v>455</v>
      </c>
      <c r="P47" s="104" t="s">
        <v>455</v>
      </c>
      <c r="Q47" s="104" t="s">
        <v>455</v>
      </c>
      <c r="R47" s="104" t="s">
        <v>455</v>
      </c>
      <c r="S47" s="104" t="s">
        <v>455</v>
      </c>
      <c r="T47" s="104" t="s">
        <v>455</v>
      </c>
      <c r="U47" s="104" t="s">
        <v>455</v>
      </c>
      <c r="V47" s="104" t="s">
        <v>455</v>
      </c>
      <c r="W47" s="104" t="s">
        <v>455</v>
      </c>
      <c r="X47" s="104" t="s">
        <v>455</v>
      </c>
      <c r="Y47" s="104" t="s">
        <v>455</v>
      </c>
      <c r="Z47" s="103"/>
    </row>
    <row r="48" spans="12:26">
      <c r="L48" s="92">
        <f>M48</f>
        <v>2</v>
      </c>
      <c r="M48" s="103">
        <f>SUM( N48:Y48 )</f>
        <v>2</v>
      </c>
      <c r="N48" s="104">
        <f xml:space="preserve"> IFERROR( N( INDEX( Ship!$A$54:$AU$60, COLUMN(N48)-13, 47 ) ), 0 )</f>
        <v>0</v>
      </c>
      <c r="O48" s="104">
        <f xml:space="preserve"> IFERROR( N( INDEX( Ship!$A$54:$AU$60, COLUMN(O48)-13, 47 ) ), 0 )</f>
        <v>0</v>
      </c>
      <c r="P48" s="104">
        <f xml:space="preserve"> IFERROR( N( INDEX( Ship!$A$54:$AU$60, COLUMN(P48)-13, 47 ) ), 0 )</f>
        <v>0</v>
      </c>
      <c r="Q48" s="104">
        <f xml:space="preserve"> IFERROR( N( INDEX( Ship!$A$54:$AU$60, COLUMN(Q48)-13, 47 ) ), 0 )</f>
        <v>0</v>
      </c>
      <c r="R48" s="104">
        <f xml:space="preserve"> IFERROR( N( INDEX( Ship!$A$54:$AU$60, COLUMN(R48)-13, 47 ) ), 0 )</f>
        <v>1</v>
      </c>
      <c r="S48" s="104">
        <f xml:space="preserve"> IFERROR( N( INDEX( Ship!$A$54:$AU$60, COLUMN(S48)-13, 47 ) ), 0 )</f>
        <v>1</v>
      </c>
      <c r="T48" s="104">
        <f xml:space="preserve"> IFERROR( N( INDEX( Ship!$A$54:$AU$60, COLUMN(T48)-13, 47 ) ), 0 )</f>
        <v>0</v>
      </c>
      <c r="U48" s="104">
        <f xml:space="preserve"> IFERROR( N( INDEX( Ship!$A$54:$AU$60, COLUMN(U48)-13, 47 ) ), 0 )</f>
        <v>0</v>
      </c>
      <c r="V48" s="104">
        <f xml:space="preserve"> IFERROR( N( INDEX( Ship!$A$54:$AU$60, COLUMN(V48)-13, 47 ) ), 0 )</f>
        <v>0</v>
      </c>
      <c r="W48" s="104">
        <f xml:space="preserve"> IFERROR( N( INDEX( Ship!$A$54:$AU$60, COLUMN(W48)-13, 47 ) ), 0 )</f>
        <v>0</v>
      </c>
      <c r="X48" s="104">
        <f xml:space="preserve"> IFERROR( N( INDEX( Ship!$A$54:$AU$60, COLUMN(X48)-13, 47 ) ), 0 )</f>
        <v>0</v>
      </c>
      <c r="Y48" s="104">
        <f xml:space="preserve"> IFERROR( N( INDEX( Ship!$A$54:$AU$60, COLUMN(Y48)-13, 47 ) ), 0 )</f>
        <v>0</v>
      </c>
      <c r="Z48" s="103"/>
    </row>
    <row r="49" spans="12:26">
      <c r="L49" s="92" t="str">
        <f xml:space="preserve"> IF( L48=0, "no", IF( L48=1, L46, IF( L48&lt;=12, VLOOKUP( L48, Tables!$B$2:$D$36, 3 ), L48 ) ) )</f>
        <v>two</v>
      </c>
      <c r="M49" s="104" t="str">
        <f xml:space="preserve"> IF( M48=0, "no", IF( M48=1, M46, IF( M48&lt;=12, VLOOKUP( M48, Tables!$B$2:$D$36, 3 ), M48 ) ) )</f>
        <v>two</v>
      </c>
      <c r="N49" s="104" t="str">
        <f xml:space="preserve"> IF( N48=0, "no", IF( N48=1, N46, IF( N48&lt;=12, VLOOKUP( N48, Tables!$B$2:$D$36, 3 ), N48 ) ) )</f>
        <v>no</v>
      </c>
      <c r="O49" s="104" t="str">
        <f xml:space="preserve"> IF( O48=0, "no", IF( O48=1, O46, IF( O48&lt;=12, VLOOKUP( O48, Tables!$B$2:$D$36, 3 ), O48 ) ) )</f>
        <v>no</v>
      </c>
      <c r="P49" s="104" t="str">
        <f xml:space="preserve"> IF( P48=0, "no", IF( P48=1, P46, IF( P48&lt;=12, VLOOKUP( P48, Tables!$B$2:$D$36, 3 ), P48 ) ) )</f>
        <v>no</v>
      </c>
      <c r="Q49" s="104" t="str">
        <f xml:space="preserve"> IF( Q48=0, "no", IF( Q48=1, Q46, IF( Q48&lt;=12, VLOOKUP( Q48, Tables!$B$2:$D$36, 3 ), Q48 ) ) )</f>
        <v>no</v>
      </c>
      <c r="R49" s="104" t="str">
        <f xml:space="preserve"> IF( R48=0, "no", IF( R48=1, R46, IF( R48&lt;=12, VLOOKUP( R48, Tables!$B$2:$D$36, 3 ), R48 ) ) )</f>
        <v>a</v>
      </c>
      <c r="S49" s="104" t="str">
        <f xml:space="preserve"> IF( S48=0, "no", IF( S48=1, S46, IF( S48&lt;=12, VLOOKUP( S48, Tables!$B$2:$D$36, 3 ), S48 ) ) )</f>
        <v>a</v>
      </c>
      <c r="T49" s="104" t="str">
        <f xml:space="preserve"> IF( T48=0, "no", IF( T48=1, T46, IF( T48&lt;=12, VLOOKUP( T48, Tables!$B$2:$D$36, 3 ), T48 ) ) )</f>
        <v>no</v>
      </c>
      <c r="U49" s="104" t="str">
        <f xml:space="preserve"> IF( U48=0, "no", IF( U48=1, U46, IF( U48&lt;=12, VLOOKUP( U48, Tables!$B$2:$D$36, 3 ), U48 ) ) )</f>
        <v>no</v>
      </c>
      <c r="V49" s="104" t="str">
        <f xml:space="preserve"> IF( V48=0, "no", IF( V48=1, V46, IF( V48&lt;=12, VLOOKUP( V48, Tables!$B$2:$D$36, 3 ), V48 ) ) )</f>
        <v>no</v>
      </c>
      <c r="W49" s="104" t="str">
        <f xml:space="preserve"> IF( W48=0, "no", IF( W48=1, W46, IF( W48&lt;=12, VLOOKUP( W48, Tables!$B$2:$D$36, 3 ), W48 ) ) )</f>
        <v>no</v>
      </c>
      <c r="X49" s="104" t="str">
        <f xml:space="preserve"> IF( X48=0, "no", IF( X48=1, X46, IF( X48&lt;=12, VLOOKUP( X48, Tables!$B$2:$D$36, 3 ), X48 ) ) )</f>
        <v>no</v>
      </c>
      <c r="Y49" s="104" t="str">
        <f xml:space="preserve"> IF( Y48=0, "no", IF( Y48=1, Y46, IF( Y48&lt;=12, VLOOKUP( Y48, Tables!$B$2:$D$36, 3 ), Y48 ) ) )</f>
        <v>no</v>
      </c>
      <c r="Z49" s="103"/>
    </row>
    <row r="50" spans="12:26">
      <c r="M50" s="104" t="str">
        <f xml:space="preserve"> IF( M48&lt;&gt;1, T(M47), "" )</f>
        <v>s</v>
      </c>
      <c r="N50" s="104" t="str">
        <f t="shared" ref="N50:Y50" si="37" xml:space="preserve"> IF( N48&lt;&gt;1, T(N47), "" )</f>
        <v>s</v>
      </c>
      <c r="O50" s="104" t="str">
        <f t="shared" si="37"/>
        <v>s</v>
      </c>
      <c r="P50" s="104" t="str">
        <f t="shared" si="37"/>
        <v>s</v>
      </c>
      <c r="Q50" s="104" t="str">
        <f t="shared" si="37"/>
        <v>s</v>
      </c>
      <c r="R50" s="104" t="str">
        <f t="shared" si="37"/>
        <v/>
      </c>
      <c r="S50" s="104" t="str">
        <f t="shared" si="37"/>
        <v/>
      </c>
      <c r="T50" s="104" t="str">
        <f t="shared" si="37"/>
        <v>s</v>
      </c>
      <c r="U50" s="104" t="str">
        <f t="shared" si="37"/>
        <v>s</v>
      </c>
      <c r="V50" s="104" t="str">
        <f t="shared" si="37"/>
        <v>s</v>
      </c>
      <c r="W50" s="104" t="str">
        <f t="shared" si="37"/>
        <v>s</v>
      </c>
      <c r="X50" s="104" t="str">
        <f t="shared" si="37"/>
        <v>s</v>
      </c>
      <c r="Y50" s="104" t="str">
        <f t="shared" si="37"/>
        <v>s</v>
      </c>
      <c r="Z50" s="103"/>
    </row>
    <row r="51" spans="12:26">
      <c r="M51" s="103" t="str">
        <f t="shared" ref="M51:Y51" si="38" xml:space="preserve"> CONCATENATE( M49 &amp; " " &amp; M45 &amp; M50 )</f>
        <v>two computers</v>
      </c>
      <c r="N51" s="103" t="str">
        <f t="shared" si="38"/>
        <v>no s</v>
      </c>
      <c r="O51" s="103" t="str">
        <f t="shared" si="38"/>
        <v>no s</v>
      </c>
      <c r="P51" s="103" t="str">
        <f t="shared" si="38"/>
        <v>no s</v>
      </c>
      <c r="Q51" s="103" t="str">
        <f t="shared" si="38"/>
        <v>no s</v>
      </c>
      <c r="R51" s="103" t="str">
        <f t="shared" si="38"/>
        <v>a m/10</v>
      </c>
      <c r="S51" s="103" t="str">
        <f t="shared" si="38"/>
        <v>a m/5/bis</v>
      </c>
      <c r="T51" s="103" t="str">
        <f t="shared" si="38"/>
        <v>no s</v>
      </c>
      <c r="U51" s="103" t="str">
        <f t="shared" si="38"/>
        <v>no nones</v>
      </c>
      <c r="V51" s="103" t="str">
        <f t="shared" si="38"/>
        <v>no nones</v>
      </c>
      <c r="W51" s="103" t="str">
        <f t="shared" si="38"/>
        <v>no nones</v>
      </c>
      <c r="X51" s="103" t="str">
        <f t="shared" si="38"/>
        <v>no nones</v>
      </c>
      <c r="Y51" s="103" t="str">
        <f t="shared" si="38"/>
        <v>no nones</v>
      </c>
      <c r="Z51" s="103"/>
    </row>
    <row r="52" spans="12:26">
      <c r="M52" s="103"/>
      <c r="N52" s="103" t="str">
        <f xml:space="preserve"> IF( AND( SUM( N48:$X48 )&gt;0, SUM(O48:$Y48)=0, SUM($M48:M48)&gt;$M48 ), " and ", " " )</f>
        <v xml:space="preserve"> </v>
      </c>
      <c r="O52" s="103" t="str">
        <f xml:space="preserve"> IF( AND( SUM( O48:$X48 )&gt;0, SUM(P48:$Y48)=0, SUM($M48:N48)&gt;$M48 ), " and ", " " )</f>
        <v xml:space="preserve"> </v>
      </c>
      <c r="P52" s="103" t="str">
        <f xml:space="preserve"> IF( AND( SUM( P48:$X48 )&gt;0, SUM(Q48:$Y48)=0, SUM($M48:O48)&gt;$M48 ), " and ", " " )</f>
        <v xml:space="preserve"> </v>
      </c>
      <c r="Q52" s="103" t="str">
        <f xml:space="preserve"> IF( AND( SUM( Q48:$X48 )&gt;0, SUM(R48:$Y48)=0, SUM($M48:P48)&gt;$M48 ), " and ", " " )</f>
        <v xml:space="preserve"> </v>
      </c>
      <c r="R52" s="103" t="str">
        <f xml:space="preserve"> IF( AND( SUM( R48:$X48 )&gt;0, SUM(S48:$Y48)=0, SUM($M48:Q48)&gt;$M48 ), " and ", " " )</f>
        <v xml:space="preserve"> </v>
      </c>
      <c r="S52" s="103" t="str">
        <f xml:space="preserve"> IF( AND( SUM( S48:$X48 )&gt;0, SUM(T48:$Y48)=0, SUM($M48:R48)&gt;$M48 ), " and ", " " )</f>
        <v xml:space="preserve"> and </v>
      </c>
      <c r="T52" s="103" t="str">
        <f xml:space="preserve"> IF( AND( SUM( T48:$X48 )&gt;0, SUM(U48:$Y48)=0, SUM($M48:S48)&gt;$M48 ), " and ", " " )</f>
        <v xml:space="preserve"> </v>
      </c>
      <c r="U52" s="103" t="str">
        <f xml:space="preserve"> IF( AND( SUM( U48:$X48 )&gt;0, SUM(V48:$Y48)=0, SUM($M48:T48)&gt;$M48 ), " and ", " " )</f>
        <v xml:space="preserve"> </v>
      </c>
      <c r="V52" s="103" t="str">
        <f xml:space="preserve"> IF( AND( SUM( V48:$X48 )&gt;0, SUM(W48:$Y48)=0, SUM($M48:U48)&gt;$M48 ), " and ", " " )</f>
        <v xml:space="preserve"> </v>
      </c>
      <c r="W52" s="103" t="str">
        <f xml:space="preserve"> IF( AND( SUM( W48:$X48 )&gt;0, SUM(X48:$Y48)=0, SUM($M48:V48)&gt;$M48 ), " and ", " " )</f>
        <v xml:space="preserve"> </v>
      </c>
      <c r="X52" s="103" t="str">
        <f xml:space="preserve"> IF( AND( SUM( X48:$X48 )&gt;0, SUM(Y48:$Y48)=0, SUM($M48:W48)&gt;$M48 ), " and ", " " )</f>
        <v xml:space="preserve"> </v>
      </c>
      <c r="Y52" s="103" t="str">
        <f xml:space="preserve"> IF( AND( SUM( $X48:Y48 )&gt;0, SUM($Y48:Z48)=0, SUM($M48:X48)&gt;$M48 ), " and ", " " )</f>
        <v xml:space="preserve"> </v>
      </c>
      <c r="Z52" s="103"/>
    </row>
    <row r="53" spans="12:26">
      <c r="M53" s="103"/>
      <c r="N53" s="103" t="str">
        <f xml:space="preserve"> IF(  AND( SUM( $M48:M48 )&gt;$M48, COUNTIF( $N48:$Y48, "&gt;0" )&gt;2),  ",",  ""  )</f>
        <v/>
      </c>
      <c r="O53" s="103" t="str">
        <f xml:space="preserve"> IF(  AND( SUM( $M48:N48 )&gt;$M48, COUNTIF( $N48:$Y48, "&gt;0" )&gt;2),  ",",  ""  )</f>
        <v/>
      </c>
      <c r="P53" s="103" t="str">
        <f xml:space="preserve"> IF(  AND( SUM( $M48:O48 )&gt;$M48, COUNTIF( $N48:$Y48, "&gt;0" )&gt;2),  ",",  ""  )</f>
        <v/>
      </c>
      <c r="Q53" s="103" t="str">
        <f xml:space="preserve"> IF(  AND( SUM( $M48:P48 )&gt;$M48, COUNTIF( $N48:$Y48, "&gt;0" )&gt;2),  ",",  ""  )</f>
        <v/>
      </c>
      <c r="R53" s="103" t="str">
        <f xml:space="preserve"> IF(  AND( SUM( $M48:Q48 )&gt;$M48, COUNTIF( $N48:$Y48, "&gt;0" )&gt;2),  ",",  ""  )</f>
        <v/>
      </c>
      <c r="S53" s="103" t="str">
        <f xml:space="preserve"> IF(  AND( SUM( $M48:R48 )&gt;$M48, COUNTIF( $N48:$Y48, "&gt;0" )&gt;2),  ",",  ""  )</f>
        <v/>
      </c>
      <c r="T53" s="103" t="str">
        <f xml:space="preserve"> IF(  AND( SUM( $M48:S48 )&gt;$M48, COUNTIF( $N48:$Y48, "&gt;0" )&gt;2),  ",",  ""  )</f>
        <v/>
      </c>
      <c r="U53" s="103" t="str">
        <f xml:space="preserve"> IF(  AND( SUM( $M48:T48 )&gt;$M48, COUNTIF( $N48:$Y48, "&gt;0" )&gt;2),  ",",  ""  )</f>
        <v/>
      </c>
      <c r="V53" s="103" t="str">
        <f xml:space="preserve"> IF(  AND( SUM( $M48:U48 )&gt;$M48, COUNTIF( $N48:$Y48, "&gt;0" )&gt;2),  ",",  ""  )</f>
        <v/>
      </c>
      <c r="W53" s="103" t="str">
        <f xml:space="preserve"> IF(  AND( SUM( $M48:V48 )&gt;$M48, COUNTIF( $N48:$Y48, "&gt;0" )&gt;2),  ",",  ""  )</f>
        <v/>
      </c>
      <c r="X53" s="103" t="str">
        <f xml:space="preserve"> IF(  AND( SUM( $M48:W48 )&gt;$M48, COUNTIF( $N48:$Y48, "&gt;0" )&gt;2),  ",",  ""  )</f>
        <v/>
      </c>
      <c r="Y53" s="103" t="str">
        <f xml:space="preserve"> IF(  AND( SUM( $M48:X48 )&gt;$M48, COUNTIF( $N48:$Y48, "&gt;0" )&gt;2),  ",",  ""  )</f>
        <v/>
      </c>
      <c r="Z53" s="103"/>
    </row>
    <row r="54" spans="12:26">
      <c r="M54" s="103" t="str">
        <f xml:space="preserve"> CONCATENATE( M53 &amp; M52 &amp; M51 )</f>
        <v>two computers</v>
      </c>
      <c r="N54" s="103" t="str">
        <f xml:space="preserve"> CONCATENATE( N53 &amp; N52 &amp; N51 )</f>
        <v xml:space="preserve"> no s</v>
      </c>
      <c r="O54" s="103" t="str">
        <f t="shared" ref="O54:Y54" si="39" xml:space="preserve"> CONCATENATE( O53 &amp; O52 &amp; O51 )</f>
        <v xml:space="preserve"> no s</v>
      </c>
      <c r="P54" s="103" t="str">
        <f t="shared" si="39"/>
        <v xml:space="preserve"> no s</v>
      </c>
      <c r="Q54" s="103" t="str">
        <f t="shared" si="39"/>
        <v xml:space="preserve"> no s</v>
      </c>
      <c r="R54" s="103" t="str">
        <f t="shared" si="39"/>
        <v xml:space="preserve"> a m/10</v>
      </c>
      <c r="S54" s="103" t="str">
        <f t="shared" si="39"/>
        <v xml:space="preserve"> and a m/5/bis</v>
      </c>
      <c r="T54" s="103" t="str">
        <f t="shared" si="39"/>
        <v xml:space="preserve"> no s</v>
      </c>
      <c r="U54" s="103" t="str">
        <f t="shared" si="39"/>
        <v xml:space="preserve"> no nones</v>
      </c>
      <c r="V54" s="103" t="str">
        <f t="shared" si="39"/>
        <v xml:space="preserve"> no nones</v>
      </c>
      <c r="W54" s="103" t="str">
        <f t="shared" si="39"/>
        <v xml:space="preserve"> no nones</v>
      </c>
      <c r="X54" s="103" t="str">
        <f t="shared" si="39"/>
        <v xml:space="preserve"> no nones</v>
      </c>
      <c r="Y54" s="103" t="str">
        <f t="shared" si="39"/>
        <v xml:space="preserve"> no nones</v>
      </c>
      <c r="Z54" s="103"/>
    </row>
    <row r="55" spans="12:26">
      <c r="L55" s="92" t="str">
        <f xml:space="preserve"> CONCATENATE( IF(L48&lt;=0,"no ","") &amp; N55 )</f>
        <v xml:space="preserve"> a m/10 and a m/5/bis computer. </v>
      </c>
      <c r="M55" s="103"/>
      <c r="N55" s="103" t="str">
        <f t="shared" ref="N55" si="40" xml:space="preserve"> CONCATENATE( IF( N48&gt;0, N54, "" ) &amp; O55 )</f>
        <v xml:space="preserve"> a m/10 and a m/5/bis computer. </v>
      </c>
      <c r="O55" s="103" t="str">
        <f t="shared" ref="O55" si="41" xml:space="preserve"> CONCATENATE( IF( O48&gt;0, O54, "" ) &amp; P55 )</f>
        <v xml:space="preserve"> a m/10 and a m/5/bis computer. </v>
      </c>
      <c r="P55" s="103" t="str">
        <f t="shared" ref="P55" si="42" xml:space="preserve"> CONCATENATE( IF( P48&gt;0, P54, "" ) &amp; Q55 )</f>
        <v xml:space="preserve"> a m/10 and a m/5/bis computer. </v>
      </c>
      <c r="Q55" s="103" t="str">
        <f t="shared" ref="Q55" si="43" xml:space="preserve"> CONCATENATE( IF( Q48&gt;0, Q54, "" ) &amp; R55 )</f>
        <v xml:space="preserve"> a m/10 and a m/5/bis computer. </v>
      </c>
      <c r="R55" s="103" t="str">
        <f t="shared" ref="R55" si="44" xml:space="preserve"> CONCATENATE( IF( R48&gt;0, R54, "" ) &amp; S55 )</f>
        <v xml:space="preserve"> a m/10 and a m/5/bis computer. </v>
      </c>
      <c r="S55" s="103" t="str">
        <f t="shared" ref="S55" si="45" xml:space="preserve"> CONCATENATE( IF( S48&gt;0, S54, "" ) &amp; T55 )</f>
        <v xml:space="preserve"> and a m/5/bis computer. </v>
      </c>
      <c r="T55" s="103" t="str">
        <f t="shared" ref="T55" si="46" xml:space="preserve"> CONCATENATE( IF( T48&gt;0, T54, "" ) &amp; U55 )</f>
        <v xml:space="preserve"> computer. </v>
      </c>
      <c r="U55" s="103" t="str">
        <f t="shared" ref="U55" si="47" xml:space="preserve"> CONCATENATE( IF( U48&gt;0, U54, "" ) &amp; V55 )</f>
        <v xml:space="preserve"> computer. </v>
      </c>
      <c r="V55" s="103" t="str">
        <f t="shared" ref="V55" si="48" xml:space="preserve"> CONCATENATE( IF( V48&gt;0, V54, "" ) &amp; W55 )</f>
        <v xml:space="preserve"> computer. </v>
      </c>
      <c r="W55" s="103" t="str">
        <f t="shared" ref="W55" si="49" xml:space="preserve"> CONCATENATE( IF( W48&gt;0, W54, "" ) &amp; X55 )</f>
        <v xml:space="preserve"> computer. </v>
      </c>
      <c r="X55" s="103" t="str">
        <f t="shared" ref="X55" si="50" xml:space="preserve"> CONCATENATE( IF( X48&gt;0, X54, "" ) &amp; Y55 )</f>
        <v xml:space="preserve"> computer. </v>
      </c>
      <c r="Y55" s="103" t="str">
        <f t="shared" ref="Y55" si="51" xml:space="preserve"> CONCATENATE( IF( Y48&gt;0, Y54, "" ) &amp; Z55 )</f>
        <v xml:space="preserve"> computer. </v>
      </c>
      <c r="Z55" s="103" t="str">
        <f xml:space="preserve"> " computer. "</f>
        <v xml:space="preserve"> computer. </v>
      </c>
    </row>
    <row r="57" spans="12:26">
      <c r="N57" s="92">
        <f xml:space="preserve"> IFERROR( SEARCH( "common area", N58 ),0)</f>
        <v>0</v>
      </c>
      <c r="O57" s="92">
        <f t="shared" ref="O57:Y57" si="52" xml:space="preserve"> IFERROR( SEARCH( "common area", O58 ),0)</f>
        <v>0</v>
      </c>
      <c r="P57" s="92">
        <f t="shared" si="52"/>
        <v>0</v>
      </c>
      <c r="Q57" s="92">
        <f t="shared" si="52"/>
        <v>0</v>
      </c>
      <c r="R57" s="92">
        <f t="shared" si="52"/>
        <v>0</v>
      </c>
      <c r="S57" s="92">
        <f t="shared" si="52"/>
        <v>0</v>
      </c>
      <c r="T57" s="92">
        <f t="shared" si="52"/>
        <v>1</v>
      </c>
      <c r="U57" s="92">
        <f t="shared" si="52"/>
        <v>0</v>
      </c>
      <c r="V57" s="92">
        <f t="shared" si="52"/>
        <v>0</v>
      </c>
      <c r="W57" s="92">
        <f t="shared" si="52"/>
        <v>0</v>
      </c>
      <c r="X57" s="92">
        <f t="shared" si="52"/>
        <v>0</v>
      </c>
      <c r="Y57" s="92">
        <f t="shared" si="52"/>
        <v>0</v>
      </c>
    </row>
    <row r="58" spans="12:26">
      <c r="L58" s="92" t="s">
        <v>213</v>
      </c>
      <c r="M58" s="103" t="s">
        <v>101</v>
      </c>
      <c r="N58" s="104" t="str">
        <f xml:space="preserve"> IFERROR( LOWER( T( INDEX( Ship!$A$67:$AU$73, COLUMN(N58)-13, 42 ) ) ), "none" )</f>
        <v>name</v>
      </c>
      <c r="O58" s="104" t="str">
        <f xml:space="preserve"> IFERROR( LOWER( T( INDEX( Ship!$A$67:$AU$73, COLUMN(O58)-13, 42 ) ) ), "none" )</f>
        <v>luxury stateroom</v>
      </c>
      <c r="P58" s="104" t="str">
        <f xml:space="preserve"> IFERROR( LOWER( T( INDEX( Ship!$A$67:$AU$73, COLUMN(P58)-13, 42 ) ) ), "none" )</f>
        <v>high stateroom</v>
      </c>
      <c r="Q58" s="104" t="str">
        <f xml:space="preserve"> IFERROR( LOWER( T( INDEX( Ship!$A$67:$AU$73, COLUMN(Q58)-13, 42 ) ) ), "none" )</f>
        <v>stateroom</v>
      </c>
      <c r="R58" s="104" t="str">
        <f xml:space="preserve"> IFERROR( LOWER( T( INDEX( Ship!$A$67:$AU$73, COLUMN(R58)-13, 42 ) ) ), "none" )</f>
        <v>barracks</v>
      </c>
      <c r="S58" s="104" t="str">
        <f xml:space="preserve"> IFERROR( LOWER( T( INDEX( Ship!$A$67:$AU$73, COLUMN(S58)-13, 42 ) ) ), "none" )</f>
        <v>low berth</v>
      </c>
      <c r="T58" s="104" t="str">
        <f xml:space="preserve"> IFERROR( LOWER( T( INDEX( Ship!$A$67:$AU$73, COLUMN(T58)-13, 42 ) ) ), "none" )</f>
        <v>common areas</v>
      </c>
      <c r="U58" s="104" t="str">
        <f xml:space="preserve"> IFERROR( LOWER( T( INDEX( Ship!$A$67:$AU$73, COLUMN(U58)-13, 42 ) ) ), "none" )</f>
        <v>none</v>
      </c>
      <c r="V58" s="104" t="str">
        <f xml:space="preserve"> IFERROR( LOWER( T( INDEX( Ship!$A$67:$AU$73, COLUMN(V58)-13, 42 ) ) ), "none" )</f>
        <v>none</v>
      </c>
      <c r="W58" s="104" t="str">
        <f xml:space="preserve"> IFERROR( LOWER( T( INDEX( Ship!$A$67:$AU$73, COLUMN(W58)-13, 42 ) ) ), "none" )</f>
        <v>none</v>
      </c>
      <c r="X58" s="104" t="str">
        <f xml:space="preserve"> IFERROR( LOWER( T( INDEX( Ship!$A$67:$AU$73, COLUMN(X58)-13, 42 ) ) ), "none" )</f>
        <v>none</v>
      </c>
      <c r="Y58" s="104" t="str">
        <f xml:space="preserve"> IFERROR( LOWER( T( INDEX( Ship!$A$67:$AU$73, COLUMN(Y58)-13, 42 ) ) ), "none" )</f>
        <v>none</v>
      </c>
      <c r="Z58" s="103"/>
    </row>
    <row r="59" spans="12:26">
      <c r="L59" s="92" t="s">
        <v>279</v>
      </c>
      <c r="M59" s="104" t="str">
        <f xml:space="preserve"> IF( IFERROR( SEARCH( LOWER( LEFT( M58, 1 ) ), vowels ), 0 )&gt;0, "an", "a" )</f>
        <v>an</v>
      </c>
      <c r="N59" s="104" t="str">
        <f xml:space="preserve"> IF( N57&gt;0, "one", IF( IFERROR( SEARCH( LOWER( LEFT( N58, 1 ) ), vowels ), 0 )&gt;0, "an", "a" ) )</f>
        <v>a</v>
      </c>
      <c r="O59" s="104" t="str">
        <f t="shared" ref="O59:Y59" si="53" xml:space="preserve"> IF( O57&gt;0, "one", IF( IFERROR( SEARCH( LOWER( LEFT( O58, 1 ) ), vowels ), 0 )&gt;0, "an", "a" ) )</f>
        <v>a</v>
      </c>
      <c r="P59" s="104" t="str">
        <f t="shared" si="53"/>
        <v>a</v>
      </c>
      <c r="Q59" s="104" t="str">
        <f t="shared" si="53"/>
        <v>a</v>
      </c>
      <c r="R59" s="104" t="str">
        <f t="shared" si="53"/>
        <v>a</v>
      </c>
      <c r="S59" s="104" t="str">
        <f t="shared" si="53"/>
        <v>a</v>
      </c>
      <c r="T59" s="104" t="str">
        <f t="shared" si="53"/>
        <v>one</v>
      </c>
      <c r="U59" s="104" t="str">
        <f t="shared" si="53"/>
        <v>a</v>
      </c>
      <c r="V59" s="104" t="str">
        <f t="shared" si="53"/>
        <v>a</v>
      </c>
      <c r="W59" s="104" t="str">
        <f t="shared" si="53"/>
        <v>a</v>
      </c>
      <c r="X59" s="104" t="str">
        <f t="shared" si="53"/>
        <v>a</v>
      </c>
      <c r="Y59" s="104" t="str">
        <f t="shared" si="53"/>
        <v>a</v>
      </c>
      <c r="Z59" s="103"/>
    </row>
    <row r="60" spans="12:26">
      <c r="M60" s="104" t="s">
        <v>310</v>
      </c>
      <c r="N60" s="104" t="str">
        <f xml:space="preserve"> IF( N58=Tables!$A$335, "","s")</f>
        <v>s</v>
      </c>
      <c r="O60" s="104" t="str">
        <f xml:space="preserve"> IF( O58=Tables!$A$335, "","s")</f>
        <v>s</v>
      </c>
      <c r="P60" s="104" t="str">
        <f xml:space="preserve"> IF( P58=Tables!$A$335, "","s")</f>
        <v>s</v>
      </c>
      <c r="Q60" s="104" t="str">
        <f xml:space="preserve"> IF( Q58=Tables!$A$335, "","s")</f>
        <v>s</v>
      </c>
      <c r="R60" s="104" t="str">
        <f xml:space="preserve"> IF( R58=Tables!$A$335, "","s")</f>
        <v/>
      </c>
      <c r="S60" s="104" t="str">
        <f xml:space="preserve"> IF( S58=Tables!$A$335, "","s")</f>
        <v>s</v>
      </c>
      <c r="T60" s="104" t="str">
        <f xml:space="preserve"> IF( T58=Tables!$A$335, "","s")</f>
        <v>s</v>
      </c>
      <c r="U60" s="104" t="str">
        <f xml:space="preserve"> IF( U58=Tables!$A$335, "","s")</f>
        <v>s</v>
      </c>
      <c r="V60" s="104" t="str">
        <f xml:space="preserve"> IF( V58=Tables!$A$335, "","s")</f>
        <v>s</v>
      </c>
      <c r="W60" s="104" t="str">
        <f xml:space="preserve"> IF( W58=Tables!$A$335, "","s")</f>
        <v>s</v>
      </c>
      <c r="X60" s="104" t="str">
        <f xml:space="preserve"> IF( X58=Tables!$A$335, "","s")</f>
        <v>s</v>
      </c>
      <c r="Y60" s="104" t="str">
        <f xml:space="preserve"> IF( Y58=Tables!$A$335, "","s")</f>
        <v>s</v>
      </c>
      <c r="Z60" s="103"/>
    </row>
    <row r="61" spans="12:26">
      <c r="L61" s="92">
        <f>M61</f>
        <v>6</v>
      </c>
      <c r="M61" s="103">
        <f>SUM( N61:Y61 )</f>
        <v>6</v>
      </c>
      <c r="N61" s="104">
        <f xml:space="preserve"> IFERROR( N( INDEX( Ship!$A$67:$AU$73, COLUMN(N61)-13, IF(N57&gt;0,8,7) ) ), 0 )</f>
        <v>0</v>
      </c>
      <c r="O61" s="104">
        <f xml:space="preserve"> IFERROR( N( INDEX( Ship!$A$67:$AU$73, COLUMN(O61)-13, IF(O57&gt;0,8,7) ) ), 0 )</f>
        <v>0</v>
      </c>
      <c r="P61" s="104">
        <f xml:space="preserve"> IFERROR( N( INDEX( Ship!$A$67:$AU$73, COLUMN(P61)-13, IF(P57&gt;0,8,7) ) ), 0 )</f>
        <v>0</v>
      </c>
      <c r="Q61" s="104">
        <f xml:space="preserve"> IFERROR( N( INDEX( Ship!$A$67:$AU$73, COLUMN(Q61)-13, IF(Q57&gt;0,8,7) ) ), 0 )</f>
        <v>3</v>
      </c>
      <c r="R61" s="104">
        <f xml:space="preserve"> IFERROR( N( INDEX( Ship!$A$67:$AU$73, COLUMN(R61)-13, IF(R57&gt;0,8,7) ) ), 0 )</f>
        <v>0</v>
      </c>
      <c r="S61" s="104">
        <f xml:space="preserve"> IFERROR( N( INDEX( Ship!$A$67:$AU$73, COLUMN(S61)-13, IF(S57&gt;0,8,7) ) ), 0 )</f>
        <v>0</v>
      </c>
      <c r="T61" s="104">
        <f xml:space="preserve"> IFERROR( N( INDEX( Ship!$A$67:$AU$73, COLUMN(T61)-13, IF(T57&gt;0,8,7) ) ), 0 )</f>
        <v>3</v>
      </c>
      <c r="U61" s="104">
        <f xml:space="preserve"> IFERROR( N( INDEX( Ship!$A$67:$AU$73, COLUMN(U61)-13, IF(U57&gt;0,8,7) ) ), 0 )</f>
        <v>0</v>
      </c>
      <c r="V61" s="104">
        <f xml:space="preserve"> IFERROR( N( INDEX( Ship!$A$67:$AU$73, COLUMN(V61)-13, IF(V57&gt;0,8,7) ) ), 0 )</f>
        <v>0</v>
      </c>
      <c r="W61" s="104">
        <f xml:space="preserve"> IFERROR( N( INDEX( Ship!$A$67:$AU$73, COLUMN(W61)-13, IF(W57&gt;0,8,7) ) ), 0 )</f>
        <v>0</v>
      </c>
      <c r="X61" s="104">
        <f xml:space="preserve"> IFERROR( N( INDEX( Ship!$A$67:$AU$73, COLUMN(X61)-13, IF(X57&gt;0,8,7) ) ), 0 )</f>
        <v>0</v>
      </c>
      <c r="Y61" s="104">
        <f xml:space="preserve"> IFERROR( N( INDEX( Ship!$A$67:$AU$73, COLUMN(Y61)-13, IF(Y57&gt;0,8,7) ) ), 0 )</f>
        <v>0</v>
      </c>
      <c r="Z61" s="103"/>
    </row>
    <row r="62" spans="12:26">
      <c r="L62" s="92" t="str">
        <f xml:space="preserve"> IF( L61=0, "no", IF( L61=1, L59, IF( L61&lt;=12, VLOOKUP( L61, Tables!$B$2:$D$36, 3 ), L61 ) ) )</f>
        <v>six</v>
      </c>
      <c r="M62" s="104" t="str">
        <f xml:space="preserve"> IF( M61=0, "no", IF( M61=1, M59, IF( M61&lt;=12, VLOOKUP( M61, Tables!$B$2:$D$36, 3 ), M61 ) ) )</f>
        <v>six</v>
      </c>
      <c r="N62" s="104" t="str">
        <f xml:space="preserve"> IF( N61=0, "no", IF( N61=1, N59, IF( N61&lt;=12, VLOOKUP( N61, Tables!$B$2:$D$36, 3 ), N61 ) ) )</f>
        <v>no</v>
      </c>
      <c r="O62" s="104" t="str">
        <f xml:space="preserve"> IF( O61=0, "no", IF( O61=1, O59, IF( O61&lt;=12, VLOOKUP( O61, Tables!$B$2:$D$36, 3 ), O61 ) ) )</f>
        <v>no</v>
      </c>
      <c r="P62" s="104" t="str">
        <f xml:space="preserve"> IF( P61=0, "no", IF( P61=1, P59, IF( P61&lt;=12, VLOOKUP( P61, Tables!$B$2:$D$36, 3 ), P61 ) ) )</f>
        <v>no</v>
      </c>
      <c r="Q62" s="104" t="str">
        <f xml:space="preserve"> IF( Q61=0, "no", IF( Q61=1, Q59, IF( Q61&lt;=12, VLOOKUP( Q61, Tables!$B$2:$D$36, 3 ), Q61 ) ) )</f>
        <v>three</v>
      </c>
      <c r="R62" s="104" t="str">
        <f xml:space="preserve"> IF( R61=0, "no", IF( R61=1, R59, IF( R61&lt;=12, VLOOKUP( R61, Tables!$B$2:$D$36, 3 ), R61 ) ) )</f>
        <v>no</v>
      </c>
      <c r="S62" s="104" t="str">
        <f xml:space="preserve"> IF( S61=0, "no", IF( S61=1, S59, IF( S61&lt;=12, VLOOKUP( S61, Tables!$B$2:$D$36, 3 ), S61 ) ) )</f>
        <v>no</v>
      </c>
      <c r="T62" s="104" t="str">
        <f xml:space="preserve"> IF( T61=0, "no", IF( T61=1, T59, IF( T61&lt;=12, VLOOKUP( T61, Tables!$B$2:$D$36, 3 ), T61 ) ) )</f>
        <v>three</v>
      </c>
      <c r="U62" s="104" t="str">
        <f xml:space="preserve"> IF( U61=0, "no", IF( U61=1, U59, IF( U61&lt;=12, VLOOKUP( U61, Tables!$B$2:$D$36, 3 ), U61 ) ) )</f>
        <v>no</v>
      </c>
      <c r="V62" s="104" t="str">
        <f xml:space="preserve"> IF( V61=0, "no", IF( V61=1, V59, IF( V61&lt;=12, VLOOKUP( V61, Tables!$B$2:$D$36, 3 ), V61 ) ) )</f>
        <v>no</v>
      </c>
      <c r="W62" s="104" t="str">
        <f xml:space="preserve"> IF( W61=0, "no", IF( W61=1, W59, IF( W61&lt;=12, VLOOKUP( W61, Tables!$B$2:$D$36, 3 ), W61 ) ) )</f>
        <v>no</v>
      </c>
      <c r="X62" s="104" t="str">
        <f xml:space="preserve"> IF( X61=0, "no", IF( X61=1, X59, IF( X61&lt;=12, VLOOKUP( X61, Tables!$B$2:$D$36, 3 ), X61 ) ) )</f>
        <v>no</v>
      </c>
      <c r="Y62" s="104" t="str">
        <f xml:space="preserve"> IF( Y61=0, "no", IF( Y61=1, Y59, IF( Y61&lt;=12, VLOOKUP( Y61, Tables!$B$2:$D$36, 3 ), Y61 ) ) )</f>
        <v>no</v>
      </c>
      <c r="Z62" s="103"/>
    </row>
    <row r="63" spans="12:26">
      <c r="M63" s="104" t="str">
        <f xml:space="preserve"> IF( M61&lt;&gt;1, T(M60), "" )</f>
        <v>s</v>
      </c>
      <c r="N63" s="104" t="str">
        <f t="shared" ref="N63:Y63" si="54" xml:space="preserve"> IF( N61&lt;&gt;1, T(N60), "" )</f>
        <v>s</v>
      </c>
      <c r="O63" s="104" t="str">
        <f t="shared" si="54"/>
        <v>s</v>
      </c>
      <c r="P63" s="104" t="str">
        <f t="shared" si="54"/>
        <v>s</v>
      </c>
      <c r="Q63" s="104" t="str">
        <f t="shared" si="54"/>
        <v>s</v>
      </c>
      <c r="R63" s="104" t="str">
        <f t="shared" si="54"/>
        <v/>
      </c>
      <c r="S63" s="104" t="str">
        <f t="shared" si="54"/>
        <v>s</v>
      </c>
      <c r="T63" s="104" t="str">
        <f t="shared" si="54"/>
        <v>s</v>
      </c>
      <c r="U63" s="104" t="str">
        <f t="shared" si="54"/>
        <v>s</v>
      </c>
      <c r="V63" s="104" t="str">
        <f t="shared" si="54"/>
        <v>s</v>
      </c>
      <c r="W63" s="104" t="str">
        <f t="shared" si="54"/>
        <v>s</v>
      </c>
      <c r="X63" s="104" t="str">
        <f t="shared" si="54"/>
        <v>s</v>
      </c>
      <c r="Y63" s="104" t="str">
        <f t="shared" si="54"/>
        <v>s</v>
      </c>
      <c r="Z63" s="103"/>
    </row>
    <row r="64" spans="12:26">
      <c r="M64" s="103" t="str">
        <f t="shared" ref="M64" si="55" xml:space="preserve"> CONCATENATE( M62 &amp; " " &amp; M58 &amp; M63 )</f>
        <v>six accomodations</v>
      </c>
      <c r="N64" s="103" t="str">
        <f xml:space="preserve"> IF(N57&gt;0, CONCATENATE( N62 &amp; " ton" &amp; N63 &amp; " of " &amp; N58  ), CONCATENATE( N62 &amp; " " &amp; N58 &amp; N63 ) )</f>
        <v>no names</v>
      </c>
      <c r="O64" s="103" t="str">
        <f t="shared" ref="O64:Y64" si="56" xml:space="preserve"> IF(O57&gt;0, CONCATENATE( O62 &amp; " ton" &amp; O63 &amp; " of " &amp; O58  ), CONCATENATE( O62 &amp; " " &amp; O58 &amp; O63 ) )</f>
        <v>no luxury staterooms</v>
      </c>
      <c r="P64" s="103" t="str">
        <f t="shared" si="56"/>
        <v>no high staterooms</v>
      </c>
      <c r="Q64" s="103" t="str">
        <f t="shared" si="56"/>
        <v>three staterooms</v>
      </c>
      <c r="R64" s="103" t="str">
        <f t="shared" si="56"/>
        <v>no barracks</v>
      </c>
      <c r="S64" s="103" t="str">
        <f t="shared" si="56"/>
        <v>no low berths</v>
      </c>
      <c r="T64" s="103" t="str">
        <f t="shared" si="56"/>
        <v>three tons of common areas</v>
      </c>
      <c r="U64" s="103" t="str">
        <f t="shared" si="56"/>
        <v>no nones</v>
      </c>
      <c r="V64" s="103" t="str">
        <f t="shared" si="56"/>
        <v>no nones</v>
      </c>
      <c r="W64" s="103" t="str">
        <f t="shared" si="56"/>
        <v>no nones</v>
      </c>
      <c r="X64" s="103" t="str">
        <f t="shared" si="56"/>
        <v>no nones</v>
      </c>
      <c r="Y64" s="103" t="str">
        <f t="shared" si="56"/>
        <v>no nones</v>
      </c>
      <c r="Z64" s="103"/>
    </row>
    <row r="65" spans="12:31">
      <c r="M65" s="103"/>
      <c r="N65" s="103" t="str">
        <f xml:space="preserve"> IF( AND( SUM( N61:$X61 )&gt;0, SUM(O61:$Y61)=0, SUM($M61:M61)&gt;$M61 ), " and ", " " )</f>
        <v xml:space="preserve"> </v>
      </c>
      <c r="O65" s="103" t="str">
        <f xml:space="preserve"> IF( AND( SUM( O61:$X61 )&gt;0, SUM(P61:$Y61)=0, SUM($M61:N61)&gt;$M61 ), " and ", " " )</f>
        <v xml:space="preserve"> </v>
      </c>
      <c r="P65" s="103" t="str">
        <f xml:space="preserve"> IF( AND( SUM( P61:$X61 )&gt;0, SUM(Q61:$Y61)=0, SUM($M61:O61)&gt;$M61 ), " and ", " " )</f>
        <v xml:space="preserve"> </v>
      </c>
      <c r="Q65" s="103" t="str">
        <f xml:space="preserve"> IF( AND( SUM( Q61:$X61 )&gt;0, SUM(R61:$Y61)=0, SUM($M61:P61)&gt;$M61 ), " and ", " " )</f>
        <v xml:space="preserve"> </v>
      </c>
      <c r="R65" s="103" t="str">
        <f xml:space="preserve"> IF( AND( SUM( R61:$X61 )&gt;0, SUM(S61:$Y61)=0, SUM($M61:Q61)&gt;$M61 ), " and ", " " )</f>
        <v xml:space="preserve"> </v>
      </c>
      <c r="S65" s="103" t="str">
        <f xml:space="preserve"> IF( AND( SUM( S61:$X61 )&gt;0, SUM(T61:$Y61)=0, SUM($M61:R61)&gt;$M61 ), " and ", " " )</f>
        <v xml:space="preserve"> </v>
      </c>
      <c r="T65" s="103" t="str">
        <f xml:space="preserve"> IF( AND( SUM( T61:$X61 )&gt;0, SUM(U61:$Y61)=0, SUM($M61:S61)&gt;$M61 ), " and ", " " )</f>
        <v xml:space="preserve"> and </v>
      </c>
      <c r="U65" s="103" t="str">
        <f xml:space="preserve"> IF( AND( SUM( U61:$X61 )&gt;0, SUM(V61:$Y61)=0, SUM($M61:T61)&gt;$M61 ), " and ", " " )</f>
        <v xml:space="preserve"> </v>
      </c>
      <c r="V65" s="103" t="str">
        <f xml:space="preserve"> IF( AND( SUM( V61:$X61 )&gt;0, SUM(W61:$Y61)=0, SUM($M61:U61)&gt;$M61 ), " and ", " " )</f>
        <v xml:space="preserve"> </v>
      </c>
      <c r="W65" s="103" t="str">
        <f xml:space="preserve"> IF( AND( SUM( W61:$X61 )&gt;0, SUM(X61:$Y61)=0, SUM($M61:V61)&gt;$M61 ), " and ", " " )</f>
        <v xml:space="preserve"> </v>
      </c>
      <c r="X65" s="103" t="str">
        <f xml:space="preserve"> IF( AND( SUM( X61:$X61 )&gt;0, SUM(Y61:$Y61)=0, SUM($M61:W61)&gt;$M61 ), " and ", " " )</f>
        <v xml:space="preserve"> </v>
      </c>
      <c r="Y65" s="103" t="str">
        <f xml:space="preserve"> IF( AND( SUM( $X61:Y61 )&gt;0, SUM($Y61:Z61)=0, SUM($M61:X61)&gt;$M61 ), " and ", " " )</f>
        <v xml:space="preserve"> </v>
      </c>
      <c r="Z65" s="103"/>
    </row>
    <row r="66" spans="12:31">
      <c r="M66" s="103"/>
      <c r="N66" s="103" t="str">
        <f xml:space="preserve"> IF(  AND( SUM( $M61:M61 )&gt;$M61, COUNTIF( $N61:$Y61, "&gt;0" )&gt;2),  ",",  ""  )</f>
        <v/>
      </c>
      <c r="O66" s="103" t="str">
        <f xml:space="preserve"> IF(  AND( SUM( $M61:N61 )&gt;$M61, COUNTIF( $N61:$Y61, "&gt;0" )&gt;2),  ",",  ""  )</f>
        <v/>
      </c>
      <c r="P66" s="103" t="str">
        <f xml:space="preserve"> IF(  AND( SUM( $M61:O61 )&gt;$M61, COUNTIF( $N61:$Y61, "&gt;0" )&gt;2),  ",",  ""  )</f>
        <v/>
      </c>
      <c r="Q66" s="103" t="str">
        <f xml:space="preserve"> IF(  AND( SUM( $M61:P61 )&gt;$M61, COUNTIF( $N61:$Y61, "&gt;0" )&gt;2),  ",",  ""  )</f>
        <v/>
      </c>
      <c r="R66" s="103" t="str">
        <f xml:space="preserve"> IF(  AND( SUM( $M61:Q61 )&gt;$M61, COUNTIF( $N61:$Y61, "&gt;0" )&gt;2),  ",",  ""  )</f>
        <v/>
      </c>
      <c r="S66" s="103" t="str">
        <f xml:space="preserve"> IF(  AND( SUM( $M61:R61 )&gt;$M61, COUNTIF( $N61:$Y61, "&gt;0" )&gt;2),  ",",  ""  )</f>
        <v/>
      </c>
      <c r="T66" s="103" t="str">
        <f xml:space="preserve"> IF(  AND( SUM( $M61:S61 )&gt;$M61, COUNTIF( $N61:$Y61, "&gt;0" )&gt;2),  ",",  ""  )</f>
        <v/>
      </c>
      <c r="U66" s="103" t="str">
        <f xml:space="preserve"> IF(  AND( SUM( $M61:T61 )&gt;$M61, COUNTIF( $N61:$Y61, "&gt;0" )&gt;2),  ",",  ""  )</f>
        <v/>
      </c>
      <c r="V66" s="103" t="str">
        <f xml:space="preserve"> IF(  AND( SUM( $M61:U61 )&gt;$M61, COUNTIF( $N61:$Y61, "&gt;0" )&gt;2),  ",",  ""  )</f>
        <v/>
      </c>
      <c r="W66" s="103" t="str">
        <f xml:space="preserve"> IF(  AND( SUM( $M61:V61 )&gt;$M61, COUNTIF( $N61:$Y61, "&gt;0" )&gt;2),  ",",  ""  )</f>
        <v/>
      </c>
      <c r="X66" s="103" t="str">
        <f xml:space="preserve"> IF(  AND( SUM( $M61:W61 )&gt;$M61, COUNTIF( $N61:$Y61, "&gt;0" )&gt;2),  ",",  ""  )</f>
        <v/>
      </c>
      <c r="Y66" s="103" t="str">
        <f xml:space="preserve"> IF(  AND( SUM( $M61:X61 )&gt;$M61, COUNTIF( $N61:$Y61, "&gt;0" )&gt;2),  ",",  ""  )</f>
        <v/>
      </c>
      <c r="Z66" s="103"/>
    </row>
    <row r="67" spans="12:31">
      <c r="M67" s="103" t="str">
        <f xml:space="preserve"> CONCATENATE( M66 &amp; M65 &amp; M64 )</f>
        <v>six accomodations</v>
      </c>
      <c r="N67" s="103" t="str">
        <f xml:space="preserve"> CONCATENATE( N66 &amp; N65 &amp; N64 )</f>
        <v xml:space="preserve"> no names</v>
      </c>
      <c r="O67" s="103" t="str">
        <f t="shared" ref="O67:Y67" si="57" xml:space="preserve"> CONCATENATE( O66 &amp; O65 &amp; O64 )</f>
        <v xml:space="preserve"> no luxury staterooms</v>
      </c>
      <c r="P67" s="103" t="str">
        <f t="shared" si="57"/>
        <v xml:space="preserve"> no high staterooms</v>
      </c>
      <c r="Q67" s="103" t="str">
        <f t="shared" si="57"/>
        <v xml:space="preserve"> three staterooms</v>
      </c>
      <c r="R67" s="103" t="str">
        <f t="shared" si="57"/>
        <v xml:space="preserve"> no barracks</v>
      </c>
      <c r="S67" s="103" t="str">
        <f t="shared" si="57"/>
        <v xml:space="preserve"> no low berths</v>
      </c>
      <c r="T67" s="103" t="str">
        <f t="shared" si="57"/>
        <v xml:space="preserve"> and three tons of common areas</v>
      </c>
      <c r="U67" s="103" t="str">
        <f t="shared" si="57"/>
        <v xml:space="preserve"> no nones</v>
      </c>
      <c r="V67" s="103" t="str">
        <f t="shared" si="57"/>
        <v xml:space="preserve"> no nones</v>
      </c>
      <c r="W67" s="103" t="str">
        <f t="shared" si="57"/>
        <v xml:space="preserve"> no nones</v>
      </c>
      <c r="X67" s="103" t="str">
        <f t="shared" si="57"/>
        <v xml:space="preserve"> no nones</v>
      </c>
      <c r="Y67" s="103" t="str">
        <f t="shared" si="57"/>
        <v xml:space="preserve"> no nones</v>
      </c>
      <c r="Z67" s="103"/>
    </row>
    <row r="68" spans="12:31">
      <c r="L68" s="92" t="str">
        <f>N68</f>
        <v xml:space="preserve"> three staterooms and three tons of common areas. </v>
      </c>
      <c r="M68" s="103"/>
      <c r="N68" s="103" t="str">
        <f t="shared" ref="N68" si="58" xml:space="preserve"> CONCATENATE( IF( N61&gt;0, N67, "" ) &amp; O68 )</f>
        <v xml:space="preserve"> three staterooms and three tons of common areas. </v>
      </c>
      <c r="O68" s="103" t="str">
        <f t="shared" ref="O68" si="59" xml:space="preserve"> CONCATENATE( IF( O61&gt;0, O67, "" ) &amp; P68 )</f>
        <v xml:space="preserve"> three staterooms and three tons of common areas. </v>
      </c>
      <c r="P68" s="103" t="str">
        <f t="shared" ref="P68" si="60" xml:space="preserve"> CONCATENATE( IF( P61&gt;0, P67, "" ) &amp; Q68 )</f>
        <v xml:space="preserve"> three staterooms and three tons of common areas. </v>
      </c>
      <c r="Q68" s="103" t="str">
        <f t="shared" ref="Q68" si="61" xml:space="preserve"> CONCATENATE( IF( Q61&gt;0, Q67, "" ) &amp; R68 )</f>
        <v xml:space="preserve"> three staterooms and three tons of common areas. </v>
      </c>
      <c r="R68" s="103" t="str">
        <f t="shared" ref="R68" si="62" xml:space="preserve"> CONCATENATE( IF( R61&gt;0, R67, "" ) &amp; S68 )</f>
        <v xml:space="preserve"> and three tons of common areas. </v>
      </c>
      <c r="S68" s="103" t="str">
        <f t="shared" ref="S68" si="63" xml:space="preserve"> CONCATENATE( IF( S61&gt;0, S67, "" ) &amp; T68 )</f>
        <v xml:space="preserve"> and three tons of common areas. </v>
      </c>
      <c r="T68" s="103" t="str">
        <f t="shared" ref="T68" si="64" xml:space="preserve"> CONCATENATE( IF( T61&gt;0, T67, "" ) &amp; U68 )</f>
        <v xml:space="preserve"> and three tons of common areas. </v>
      </c>
      <c r="U68" s="103" t="str">
        <f t="shared" ref="U68" si="65" xml:space="preserve"> CONCATENATE( IF( U61&gt;0, U67, "" ) &amp; V68 )</f>
        <v xml:space="preserve">. </v>
      </c>
      <c r="V68" s="103" t="str">
        <f t="shared" ref="V68" si="66" xml:space="preserve"> CONCATENATE( IF( V61&gt;0, V67, "" ) &amp; W68 )</f>
        <v xml:space="preserve">. </v>
      </c>
      <c r="W68" s="103" t="str">
        <f t="shared" ref="W68" si="67" xml:space="preserve"> CONCATENATE( IF( W61&gt;0, W67, "" ) &amp; X68 )</f>
        <v xml:space="preserve">. </v>
      </c>
      <c r="X68" s="103" t="str">
        <f t="shared" ref="X68" si="68" xml:space="preserve"> CONCATENATE( IF( X61&gt;0, X67, "" ) &amp; Y68 )</f>
        <v xml:space="preserve">. </v>
      </c>
      <c r="Y68" s="103" t="str">
        <f t="shared" ref="Y68" si="69" xml:space="preserve"> CONCATENATE( IF( Y61&gt;0, Y67, "" ) &amp; Z68 )</f>
        <v xml:space="preserve">. </v>
      </c>
      <c r="Z68" s="103" t="str">
        <f>". "</f>
        <v xml:space="preserve">. </v>
      </c>
    </row>
    <row r="70" spans="12:31">
      <c r="N70" s="104">
        <f xml:space="preserve"> IFERROR( N( INDEX( Ship!$A$74:$AU$84, COLUMN(N70)-13, 46 ) ), 0 )</f>
        <v>0</v>
      </c>
      <c r="O70" s="104">
        <f xml:space="preserve"> IFERROR( N( INDEX( Ship!$A$74:$AU$84, COLUMN(O70)-13, 46 ) ), 0 )</f>
        <v>1</v>
      </c>
      <c r="P70" s="104">
        <f xml:space="preserve"> IFERROR( N( INDEX( Ship!$A$74:$AU$84, COLUMN(P70)-13, 46 ) ), 0 )</f>
        <v>0</v>
      </c>
      <c r="Q70" s="104">
        <f xml:space="preserve"> IFERROR( N( INDEX( Ship!$A$74:$AU$84, COLUMN(Q70)-13, 46 ) ), 0 )</f>
        <v>0</v>
      </c>
      <c r="R70" s="104">
        <f xml:space="preserve"> IFERROR( N( INDEX( Ship!$A$74:$AU$84, COLUMN(R70)-13, 46 ) ), 0 )</f>
        <v>0</v>
      </c>
      <c r="S70" s="104">
        <f xml:space="preserve"> IFERROR( N( INDEX( Ship!$A$74:$AU$84, COLUMN(S70)-13, 46 ) ), 0 )</f>
        <v>1</v>
      </c>
      <c r="T70" s="104">
        <f xml:space="preserve"> IFERROR( N( INDEX( Ship!$A$74:$AU$84, COLUMN(T70)-13, 46 ) ), 0 )</f>
        <v>1</v>
      </c>
      <c r="U70" s="104">
        <f xml:space="preserve"> IFERROR( N( INDEX( Ship!$A$74:$AU$84, COLUMN(U70)-13, 46 ) ), 0 )</f>
        <v>0</v>
      </c>
      <c r="V70" s="104">
        <f xml:space="preserve"> IFERROR( N( INDEX( Ship!$A$74:$AU$84, COLUMN(V70)-13, 46 ) ), 0 )</f>
        <v>0</v>
      </c>
      <c r="W70" s="104">
        <f xml:space="preserve"> IFERROR( N( INDEX( Ship!$A$74:$AU$84, COLUMN(W70)-13, 46 ) ), 0 )</f>
        <v>0</v>
      </c>
      <c r="X70" s="104">
        <f xml:space="preserve"> IFERROR( N( INDEX( Ship!$A$74:$AU$84, COLUMN(X70)-13, 46 ) ), 0 )</f>
        <v>0</v>
      </c>
      <c r="Y70" s="104">
        <f xml:space="preserve"> IFERROR( N( INDEX( Ship!$A$74:$AU$84, COLUMN(Y70)-13, 46 ) ), 0 )</f>
        <v>0</v>
      </c>
      <c r="Z70" s="104">
        <f xml:space="preserve"> IFERROR( N( INDEX( Ship!$A$74:$AU$84, COLUMN(Z70)-13, 46 ) ), 0 )</f>
        <v>0</v>
      </c>
      <c r="AA70" s="104">
        <f xml:space="preserve"> IFERROR( N( INDEX( Ship!$A$74:$AU$84, COLUMN(AA70)-13, 46 ) ), 0 )</f>
        <v>0</v>
      </c>
      <c r="AB70" s="104">
        <f xml:space="preserve"> IFERROR( N( INDEX( Ship!$A$74:$AU$84, COLUMN(AB70)-13, 46 ) ), 0 )</f>
        <v>0</v>
      </c>
      <c r="AC70" s="104">
        <f xml:space="preserve"> IFERROR( N( INDEX( Ship!$A$74:$AU$84, COLUMN(AC70)-13, 46 ) ), 0 )</f>
        <v>0</v>
      </c>
      <c r="AD70" s="104">
        <f xml:space="preserve"> IFERROR( N( INDEX( Ship!$A$74:$AU$84, COLUMN(AD70)-13, 46 ) ), 0 )</f>
        <v>0</v>
      </c>
    </row>
    <row r="71" spans="12:31">
      <c r="L71" s="92" t="s">
        <v>712</v>
      </c>
      <c r="M71" s="103" t="s">
        <v>752</v>
      </c>
      <c r="N71" s="104" t="str">
        <f xml:space="preserve"> IFERROR( LOWER( T( INDEX( Ship!$A$74:$AU$84, COLUMN(N71)-13, IF(N74=1,42,44) ) ) ), "none" )</f>
        <v>0 dton multi-environment spaces</v>
      </c>
      <c r="O71" s="104" t="str">
        <f xml:space="preserve"> IFERROR( LOWER( T( INDEX( Ship!$A$74:$AU$84, COLUMN(O71)-13, IF(O74=1,42,44) ) ) ), "none" )</f>
        <v>biosphere / hydroponic garden</v>
      </c>
      <c r="P71" s="104" t="str">
        <f xml:space="preserve"> IFERROR( LOWER( T( INDEX( Ship!$A$74:$AU$84, COLUMN(P71)-13, IF(P74=1,42,44) ) ) ), "none" )</f>
        <v>escape capsules</v>
      </c>
      <c r="Q71" s="104" t="str">
        <f xml:space="preserve"> IFERROR( LOWER( T( INDEX( Ship!$A$74:$AU$84, COLUMN(Q71)-13, IF(Q74=1,42,44) ) ) ), "none" )</f>
        <v>autodocs</v>
      </c>
      <c r="R71" s="104" t="str">
        <f xml:space="preserve"> IFERROR( LOWER( T( INDEX( Ship!$A$74:$AU$84, COLUMN(R71)-13, IF(R74=1,42,44) ) ) ), "none" )</f>
        <v>medical bays</v>
      </c>
      <c r="S71" s="104" t="str">
        <f xml:space="preserve"> IFERROR( LOWER( T( INDEX( Ship!$A$74:$AU$84, COLUMN(S71)-13, IF(S74=1,42,44) ) ) ), "none" )</f>
        <v>armoury</v>
      </c>
      <c r="T71" s="104" t="str">
        <f xml:space="preserve"> IFERROR( LOWER( T( INDEX( Ship!$A$74:$AU$84, COLUMN(T71)-13, IF(T74=1,42,44) ) ) ), "none" )</f>
        <v>troop training facilities</v>
      </c>
      <c r="U71" s="104" t="str">
        <f xml:space="preserve"> IFERROR( LOWER( T( INDEX( Ship!$A$74:$AU$84, COLUMN(U71)-13, IF(U74=1,42,44) ) ) ), "none" )</f>
        <v>briefing rooms</v>
      </c>
      <c r="V71" s="104" t="str">
        <f xml:space="preserve"> IFERROR( LOWER( T( INDEX( Ship!$A$74:$AU$84, COLUMN(V71)-13, IF(V74=1,42,44) ) ) ), "none" )</f>
        <v>libraries</v>
      </c>
      <c r="W71" s="104" t="str">
        <f xml:space="preserve"> IFERROR( LOWER( T( INDEX( Ship!$A$74:$AU$84, COLUMN(W71)-13, IF(W74=1,42,44) ) ) ), "none" )</f>
        <v>workshops</v>
      </c>
      <c r="X71" s="104" t="str">
        <f xml:space="preserve"> IFERROR( LOWER( T( INDEX( Ship!$A$74:$AU$84, COLUMN(X71)-13, IF(X74=1,42,44) ) ) ), "none" )</f>
        <v/>
      </c>
      <c r="Y71" s="104" t="str">
        <f xml:space="preserve"> IFERROR( LOWER( T( INDEX( Ship!$A$74:$AU$84, COLUMN(Y71)-13, IF(Y74=1,42,44) ) ) ), "none" )</f>
        <v>none</v>
      </c>
      <c r="Z71" s="104" t="str">
        <f xml:space="preserve"> IFERROR( LOWER( T( INDEX( Ship!$A$74:$AU$84, COLUMN(Z71)-13, IF(Z74=1,42,44) ) ) ), "none" )</f>
        <v>none</v>
      </c>
      <c r="AA71" s="104" t="str">
        <f xml:space="preserve"> IFERROR( LOWER( T( INDEX( Ship!$A$74:$AU$84, COLUMN(AA71)-13, IF(AA74=1,42,44) ) ) ), "none" )</f>
        <v>none</v>
      </c>
      <c r="AB71" s="104" t="str">
        <f xml:space="preserve"> IFERROR( LOWER( T( INDEX( Ship!$A$74:$AU$84, COLUMN(AB71)-13, IF(AB74=1,42,44) ) ) ), "none" )</f>
        <v>none</v>
      </c>
      <c r="AC71" s="104" t="str">
        <f xml:space="preserve"> IFERROR( LOWER( T( INDEX( Ship!$A$74:$AU$84, COLUMN(AC71)-13, IF(AC74=1,42,44) ) ) ), "none" )</f>
        <v>none</v>
      </c>
      <c r="AD71" s="104" t="str">
        <f xml:space="preserve"> IFERROR( LOWER( T( INDEX( Ship!$A$74:$AU$84, COLUMN(AD71)-13, IF(AD74=1,42,44) ) ) ), "none" )</f>
        <v>none</v>
      </c>
      <c r="AE71" s="103"/>
    </row>
    <row r="72" spans="12:31">
      <c r="L72" s="92" t="s">
        <v>279</v>
      </c>
      <c r="M72" s="104" t="str">
        <f xml:space="preserve"> IF( IFERROR( SEARCH( LOWER( LEFT( M71, 1 ) ), vowels ), 0 )&gt;0, "an", "a" )</f>
        <v>a</v>
      </c>
      <c r="N72" s="104" t="str">
        <f xml:space="preserve"> IF( N70&gt;0, "one", IF( IFERROR( SEARCH( LOWER( LEFT( N71, 1 ) ), vowels ), 0 )&gt;0, "an", "a" ) )</f>
        <v>a</v>
      </c>
      <c r="O72" s="104" t="str">
        <f t="shared" ref="O72:V72" si="70" xml:space="preserve"> IF( O70&gt;0, "one", IF( IFERROR( SEARCH( LOWER( LEFT( O71, 1 ) ), vowels ), 0 )&gt;0, "an", "a" ) )</f>
        <v>one</v>
      </c>
      <c r="P72" s="104" t="str">
        <f t="shared" si="70"/>
        <v>an</v>
      </c>
      <c r="Q72" s="104" t="str">
        <f t="shared" si="70"/>
        <v>an</v>
      </c>
      <c r="R72" s="104" t="str">
        <f t="shared" si="70"/>
        <v>a</v>
      </c>
      <c r="S72" s="104" t="str">
        <f t="shared" si="70"/>
        <v>one</v>
      </c>
      <c r="T72" s="104" t="str">
        <f t="shared" si="70"/>
        <v>one</v>
      </c>
      <c r="U72" s="104" t="str">
        <f t="shared" si="70"/>
        <v>a</v>
      </c>
      <c r="V72" s="104" t="str">
        <f t="shared" si="70"/>
        <v>a</v>
      </c>
      <c r="W72" s="104" t="str">
        <f t="shared" ref="W72" si="71" xml:space="preserve"> IF( W70&gt;0, "one", IF( IFERROR( SEARCH( LOWER( LEFT( W71, 1 ) ), vowels ), 0 )&gt;0, "an", "a" ) )</f>
        <v>a</v>
      </c>
      <c r="X72" s="104" t="str">
        <f t="shared" ref="X72" si="72" xml:space="preserve"> IF( X70&gt;0, "one", IF( IFERROR( SEARCH( LOWER( LEFT( X71, 1 ) ), vowels ), 0 )&gt;0, "an", "a" ) )</f>
        <v>an</v>
      </c>
      <c r="Y72" s="104" t="str">
        <f t="shared" ref="Y72" si="73" xml:space="preserve"> IF( Y70&gt;0, "one", IF( IFERROR( SEARCH( LOWER( LEFT( Y71, 1 ) ), vowels ), 0 )&gt;0, "an", "a" ) )</f>
        <v>a</v>
      </c>
      <c r="Z72" s="104" t="str">
        <f t="shared" ref="Z72" si="74" xml:space="preserve"> IF( Z70&gt;0, "one", IF( IFERROR( SEARCH( LOWER( LEFT( Z71, 1 ) ), vowels ), 0 )&gt;0, "an", "a" ) )</f>
        <v>a</v>
      </c>
      <c r="AA72" s="104" t="str">
        <f t="shared" ref="AA72" si="75" xml:space="preserve"> IF( AA70&gt;0, "one", IF( IFERROR( SEARCH( LOWER( LEFT( AA71, 1 ) ), vowels ), 0 )&gt;0, "an", "a" ) )</f>
        <v>a</v>
      </c>
      <c r="AB72" s="104" t="str">
        <f t="shared" ref="AB72" si="76" xml:space="preserve"> IF( AB70&gt;0, "one", IF( IFERROR( SEARCH( LOWER( LEFT( AB71, 1 ) ), vowels ), 0 )&gt;0, "an", "a" ) )</f>
        <v>a</v>
      </c>
      <c r="AC72" s="104" t="str">
        <f t="shared" ref="AC72" si="77" xml:space="preserve"> IF( AC70&gt;0, "one", IF( IFERROR( SEARCH( LOWER( LEFT( AC71, 1 ) ), vowels ), 0 )&gt;0, "an", "a" ) )</f>
        <v>a</v>
      </c>
      <c r="AD72" s="104" t="str">
        <f t="shared" ref="AD72" si="78" xml:space="preserve"> IF( AD70&gt;0, "one", IF( IFERROR( SEARCH( LOWER( LEFT( AD71, 1 ) ), vowels ), 0 )&gt;0, "an", "a" ) )</f>
        <v>a</v>
      </c>
      <c r="AE72" s="103"/>
    </row>
    <row r="73" spans="12:31">
      <c r="M73" s="104" t="s">
        <v>310</v>
      </c>
      <c r="N73" s="104" t="s">
        <v>44</v>
      </c>
      <c r="O73" s="104" t="s">
        <v>44</v>
      </c>
      <c r="P73" s="104" t="s">
        <v>44</v>
      </c>
      <c r="Q73" s="104" t="s">
        <v>44</v>
      </c>
      <c r="R73" s="104" t="s">
        <v>44</v>
      </c>
      <c r="S73" s="104" t="s">
        <v>44</v>
      </c>
      <c r="T73" s="104" t="s">
        <v>44</v>
      </c>
      <c r="U73" s="104" t="s">
        <v>44</v>
      </c>
      <c r="V73" s="104" t="s">
        <v>44</v>
      </c>
      <c r="W73" s="104" t="s">
        <v>44</v>
      </c>
      <c r="X73" s="104" t="s">
        <v>44</v>
      </c>
      <c r="Y73" s="104" t="s">
        <v>44</v>
      </c>
      <c r="Z73" s="104" t="s">
        <v>44</v>
      </c>
      <c r="AA73" s="104" t="s">
        <v>44</v>
      </c>
      <c r="AB73" s="104" t="s">
        <v>44</v>
      </c>
      <c r="AC73" s="104" t="s">
        <v>44</v>
      </c>
      <c r="AD73" s="104" t="s">
        <v>44</v>
      </c>
      <c r="AE73" s="103"/>
    </row>
    <row r="74" spans="12:31">
      <c r="L74" s="92">
        <f>M74</f>
        <v>6</v>
      </c>
      <c r="M74" s="103">
        <f>SUM( N74:AD74 )</f>
        <v>6</v>
      </c>
      <c r="N74" s="104">
        <f xml:space="preserve"> IFERROR( N( INDEX( Ship!$A$74:$AU$84, COLUMN(N74)-13, IF(N70&gt;0,8,7) ) ), 0 )</f>
        <v>0</v>
      </c>
      <c r="O74" s="104">
        <f xml:space="preserve"> IFERROR( N( INDEX( Ship!$A$74:$AU$84, COLUMN(O74)-13, IF(O70&gt;0,8,7) ) ), 0 )</f>
        <v>0</v>
      </c>
      <c r="P74" s="104">
        <f xml:space="preserve"> IFERROR( N( INDEX( Ship!$A$74:$AU$84, COLUMN(P74)-13, IF(P70&gt;0,8,7) ) ), 0 )</f>
        <v>6</v>
      </c>
      <c r="Q74" s="104">
        <f xml:space="preserve"> IFERROR( N( INDEX( Ship!$A$74:$AU$84, COLUMN(Q74)-13, IF(Q70&gt;0,8,7) ) ), 0 )</f>
        <v>0</v>
      </c>
      <c r="R74" s="104">
        <f xml:space="preserve"> IFERROR( N( INDEX( Ship!$A$74:$AU$84, COLUMN(R74)-13, IF(R70&gt;0,8,7) ) ), 0 )</f>
        <v>0</v>
      </c>
      <c r="S74" s="104">
        <f xml:space="preserve"> IFERROR( N( INDEX( Ship!$A$74:$AU$84, COLUMN(S74)-13, IF(S70&gt;0,8,7) ) ), 0 )</f>
        <v>0</v>
      </c>
      <c r="T74" s="104">
        <f xml:space="preserve"> IFERROR( N( INDEX( Ship!$A$74:$AU$84, COLUMN(T74)-13, IF(T70&gt;0,8,7) ) ), 0 )</f>
        <v>0</v>
      </c>
      <c r="U74" s="104">
        <f xml:space="preserve"> IFERROR( N( INDEX( Ship!$A$74:$AU$84, COLUMN(U74)-13, IF(U70&gt;0,8,7) ) ), 0 )</f>
        <v>0</v>
      </c>
      <c r="V74" s="104">
        <f xml:space="preserve"> IFERROR( N( INDEX( Ship!$A$74:$AU$84, COLUMN(V74)-13, IF(V70&gt;0,8,7) ) ), 0 )</f>
        <v>0</v>
      </c>
      <c r="W74" s="104">
        <f xml:space="preserve"> IFERROR( N( INDEX( Ship!$A$74:$AU$84, COLUMN(W74)-13, IF(W70&gt;0,8,7) ) ), 0 )</f>
        <v>0</v>
      </c>
      <c r="X74" s="104">
        <f xml:space="preserve"> IFERROR( N( INDEX( Ship!$A$74:$AU$84, COLUMN(X74)-13, IF(X70&gt;0,8,7) ) ), 0 )</f>
        <v>0</v>
      </c>
      <c r="Y74" s="104">
        <f xml:space="preserve"> IFERROR( N( INDEX( Ship!$A$74:$AU$84, COLUMN(Y74)-13, IF(Y70&gt;0,8,7) ) ), 0 )</f>
        <v>0</v>
      </c>
      <c r="Z74" s="104">
        <f xml:space="preserve"> IFERROR( N( INDEX( Ship!$A$74:$AU$84, COLUMN(Z74)-13, IF(Z70&gt;0,8,7) ) ), 0 )</f>
        <v>0</v>
      </c>
      <c r="AA74" s="104">
        <f xml:space="preserve"> IFERROR( N( INDEX( Ship!$A$74:$AU$84, COLUMN(AA74)-13, IF(AA70&gt;0,8,7) ) ), 0 )</f>
        <v>0</v>
      </c>
      <c r="AB74" s="104">
        <f xml:space="preserve"> IFERROR( N( INDEX( Ship!$A$74:$AU$84, COLUMN(AB74)-13, IF(AB70&gt;0,8,7) ) ), 0 )</f>
        <v>0</v>
      </c>
      <c r="AC74" s="104">
        <f xml:space="preserve"> IFERROR( N( INDEX( Ship!$A$74:$AU$84, COLUMN(AC74)-13, IF(AC70&gt;0,8,7) ) ), 0 )</f>
        <v>0</v>
      </c>
      <c r="AD74" s="104">
        <f xml:space="preserve"> IFERROR( N( INDEX( Ship!$A$74:$AU$84, COLUMN(AD74)-13, IF(AD70&gt;0,8,7) ) ), 0 )</f>
        <v>0</v>
      </c>
      <c r="AE74" s="103"/>
    </row>
    <row r="75" spans="12:31">
      <c r="L75" s="92" t="str">
        <f xml:space="preserve"> IF( L74=0, "no", IF( L74=1, L72, IF( L74&lt;=12, VLOOKUP( L74, Tables!$B$2:$D$36, 3 ), L74 ) ) )</f>
        <v>six</v>
      </c>
      <c r="M75" s="104" t="str">
        <f xml:space="preserve"> IF( M74=0, "no", IF( M74=1, M72, IF( M74&lt;=12, VLOOKUP( M74, Tables!$B$2:$D$36, 3 ), M74 ) ) )</f>
        <v>six</v>
      </c>
      <c r="N75" s="104" t="str">
        <f xml:space="preserve"> IF( N74=0, "no", IF( N74=1, N72, IF( N74&lt;=12, VLOOKUP( N74, Tables!$B$2:$D$36, 3 ), N74 ) ) )</f>
        <v>no</v>
      </c>
      <c r="O75" s="104" t="str">
        <f xml:space="preserve"> IF( O74=0, "no", IF( O74=1, O72, IF( O74&lt;=12, VLOOKUP( O74, Tables!$B$2:$D$36, 3 ), O74 ) ) )</f>
        <v>no</v>
      </c>
      <c r="P75" s="104" t="str">
        <f xml:space="preserve"> IF( P74=0, "no", IF( P74=1, P72, IF( P74&lt;=12, VLOOKUP( P74, Tables!$B$2:$D$36, 3 ), P74 ) ) )</f>
        <v>six</v>
      </c>
      <c r="Q75" s="104" t="str">
        <f xml:space="preserve"> IF( Q74=0, "no", IF( Q74=1, Q72, IF( Q74&lt;=12, VLOOKUP( Q74, Tables!$B$2:$D$36, 3 ), Q74 ) ) )</f>
        <v>no</v>
      </c>
      <c r="R75" s="104" t="str">
        <f xml:space="preserve"> IF( R74=0, "no", IF( R74=1, R72, IF( R74&lt;=12, VLOOKUP( R74, Tables!$B$2:$D$36, 3 ), R74 ) ) )</f>
        <v>no</v>
      </c>
      <c r="S75" s="104" t="str">
        <f xml:space="preserve"> IF( S74=0, "no", IF( S74=1, S72, IF( S74&lt;=12, VLOOKUP( S74, Tables!$B$2:$D$36, 3 ), S74 ) ) )</f>
        <v>no</v>
      </c>
      <c r="T75" s="104" t="str">
        <f xml:space="preserve"> IF( T74=0, "no", IF( T74=1, T72, IF( T74&lt;=12, VLOOKUP( T74, Tables!$B$2:$D$36, 3 ), T74 ) ) )</f>
        <v>no</v>
      </c>
      <c r="U75" s="104" t="str">
        <f xml:space="preserve"> IF( U74=0, "no", IF( U74=1, U72, IF( U74&lt;=12, VLOOKUP( U74, Tables!$B$2:$D$36, 3 ), U74 ) ) )</f>
        <v>no</v>
      </c>
      <c r="V75" s="104" t="str">
        <f xml:space="preserve"> IF( V74=0, "no", IF( V74=1, V72, IF( V74&lt;=12, VLOOKUP( V74, Tables!$B$2:$D$36, 3 ), V74 ) ) )</f>
        <v>no</v>
      </c>
      <c r="W75" s="104" t="str">
        <f xml:space="preserve"> IF( W74=0, "no", IF( W74=1, W72, IF( W74&lt;=12, VLOOKUP( W74, Tables!$B$2:$D$36, 3 ), W74 ) ) )</f>
        <v>no</v>
      </c>
      <c r="X75" s="104" t="str">
        <f xml:space="preserve"> IF( X74=0, "no", IF( X74=1, X72, IF( X74&lt;=12, VLOOKUP( X74, Tables!$B$2:$D$36, 3 ), X74 ) ) )</f>
        <v>no</v>
      </c>
      <c r="Y75" s="104" t="str">
        <f xml:space="preserve"> IF( Y74=0, "no", IF( Y74=1, Y72, IF( Y74&lt;=12, VLOOKUP( Y74, Tables!$B$2:$D$36, 3 ), Y74 ) ) )</f>
        <v>no</v>
      </c>
      <c r="Z75" s="104" t="str">
        <f xml:space="preserve"> IF( Z74=0, "no", IF( Z74=1, Z72, IF( Z74&lt;=12, VLOOKUP( Z74, Tables!$B$2:$D$36, 3 ), Z74 ) ) )</f>
        <v>no</v>
      </c>
      <c r="AA75" s="104" t="str">
        <f xml:space="preserve"> IF( AA74=0, "no", IF( AA74=1, AA72, IF( AA74&lt;=12, VLOOKUP( AA74, Tables!$B$2:$D$36, 3 ), AA74 ) ) )</f>
        <v>no</v>
      </c>
      <c r="AB75" s="104" t="str">
        <f xml:space="preserve"> IF( AB74=0, "no", IF( AB74=1, AB72, IF( AB74&lt;=12, VLOOKUP( AB74, Tables!$B$2:$D$36, 3 ), AB74 ) ) )</f>
        <v>no</v>
      </c>
      <c r="AC75" s="104" t="str">
        <f xml:space="preserve"> IF( AC74=0, "no", IF( AC74=1, AC72, IF( AC74&lt;=12, VLOOKUP( AC74, Tables!$B$2:$D$36, 3 ), AC74 ) ) )</f>
        <v>no</v>
      </c>
      <c r="AD75" s="104" t="str">
        <f xml:space="preserve"> IF( AD74=0, "no", IF( AD74=1, AD72, IF( AD74&lt;=12, VLOOKUP( AD74, Tables!$B$2:$D$36, 3 ), AD74 ) ) )</f>
        <v>no</v>
      </c>
      <c r="AE75" s="103"/>
    </row>
    <row r="76" spans="12:31">
      <c r="M76" s="104" t="str">
        <f xml:space="preserve"> IF( M74&lt;&gt;1, T(M73), "" )</f>
        <v>s</v>
      </c>
      <c r="N76" s="104" t="str">
        <f t="shared" ref="N76:V76" si="79" xml:space="preserve"> IF( N74&lt;&gt;1, T(N73), "" )</f>
        <v>s</v>
      </c>
      <c r="O76" s="104" t="str">
        <f t="shared" si="79"/>
        <v>s</v>
      </c>
      <c r="P76" s="104" t="str">
        <f t="shared" si="79"/>
        <v>s</v>
      </c>
      <c r="Q76" s="104" t="str">
        <f t="shared" si="79"/>
        <v>s</v>
      </c>
      <c r="R76" s="104" t="str">
        <f t="shared" si="79"/>
        <v>s</v>
      </c>
      <c r="S76" s="104" t="str">
        <f t="shared" si="79"/>
        <v>s</v>
      </c>
      <c r="T76" s="104" t="str">
        <f t="shared" si="79"/>
        <v>s</v>
      </c>
      <c r="U76" s="104" t="str">
        <f t="shared" si="79"/>
        <v>s</v>
      </c>
      <c r="V76" s="104" t="str">
        <f t="shared" si="79"/>
        <v>s</v>
      </c>
      <c r="W76" s="104" t="str">
        <f t="shared" ref="W76:AD76" si="80" xml:space="preserve"> IF( W74&lt;&gt;1, T(W73), "" )</f>
        <v>s</v>
      </c>
      <c r="X76" s="104" t="str">
        <f t="shared" si="80"/>
        <v>s</v>
      </c>
      <c r="Y76" s="104" t="str">
        <f t="shared" si="80"/>
        <v>s</v>
      </c>
      <c r="Z76" s="104" t="str">
        <f t="shared" si="80"/>
        <v>s</v>
      </c>
      <c r="AA76" s="104" t="str">
        <f t="shared" si="80"/>
        <v>s</v>
      </c>
      <c r="AB76" s="104" t="str">
        <f t="shared" si="80"/>
        <v>s</v>
      </c>
      <c r="AC76" s="104" t="str">
        <f t="shared" si="80"/>
        <v>s</v>
      </c>
      <c r="AD76" s="104" t="str">
        <f t="shared" si="80"/>
        <v>s</v>
      </c>
      <c r="AE76" s="103"/>
    </row>
    <row r="77" spans="12:31">
      <c r="M77" s="103" t="str">
        <f t="shared" ref="M77" si="81" xml:space="preserve"> CONCATENATE( M75 &amp; " " &amp; M71 &amp; M76 )</f>
        <v>six facilitiess</v>
      </c>
      <c r="N77" s="103" t="str">
        <f xml:space="preserve"> IF(N70&gt;0, CONCATENATE( N75 &amp; " ton" &amp; N76 &amp; " of " &amp; N71  ), CONCATENATE( N75 &amp; " " &amp; N71 ) )</f>
        <v>no 0 dton multi-environment spaces</v>
      </c>
      <c r="O77" s="103" t="str">
        <f t="shared" ref="O77:AD77" si="82" xml:space="preserve"> IF(O70&gt;0, CONCATENATE( O75 &amp; " ton" &amp; O76 &amp; " of " &amp; O71  ), CONCATENATE( O75 &amp; " " &amp; O71 ) )</f>
        <v>no tons of biosphere / hydroponic garden</v>
      </c>
      <c r="P77" s="103" t="str">
        <f t="shared" si="82"/>
        <v>six escape capsules</v>
      </c>
      <c r="Q77" s="103" t="str">
        <f t="shared" si="82"/>
        <v>no autodocs</v>
      </c>
      <c r="R77" s="103" t="str">
        <f t="shared" si="82"/>
        <v>no medical bays</v>
      </c>
      <c r="S77" s="103" t="str">
        <f t="shared" si="82"/>
        <v>no tons of armoury</v>
      </c>
      <c r="T77" s="103" t="str">
        <f t="shared" si="82"/>
        <v>no tons of troop training facilities</v>
      </c>
      <c r="U77" s="103" t="str">
        <f t="shared" si="82"/>
        <v>no briefing rooms</v>
      </c>
      <c r="V77" s="103" t="str">
        <f t="shared" si="82"/>
        <v>no libraries</v>
      </c>
      <c r="W77" s="103" t="str">
        <f t="shared" si="82"/>
        <v>no workshops</v>
      </c>
      <c r="X77" s="103" t="str">
        <f t="shared" si="82"/>
        <v xml:space="preserve">no </v>
      </c>
      <c r="Y77" s="103" t="str">
        <f t="shared" si="82"/>
        <v>no none</v>
      </c>
      <c r="Z77" s="103" t="str">
        <f t="shared" si="82"/>
        <v>no none</v>
      </c>
      <c r="AA77" s="103" t="str">
        <f t="shared" si="82"/>
        <v>no none</v>
      </c>
      <c r="AB77" s="103" t="str">
        <f t="shared" si="82"/>
        <v>no none</v>
      </c>
      <c r="AC77" s="103" t="str">
        <f t="shared" si="82"/>
        <v>no none</v>
      </c>
      <c r="AD77" s="103" t="str">
        <f t="shared" si="82"/>
        <v>no none</v>
      </c>
      <c r="AE77" s="103"/>
    </row>
    <row r="78" spans="12:31">
      <c r="M78" s="103"/>
      <c r="N78" s="103" t="str">
        <f xml:space="preserve"> IF( AND( SUM( N74:$AC74 )&gt;0, SUM(O74:$AD74)=0, SUM($M74:M74)&gt;$M74 ), " and ", " " )</f>
        <v xml:space="preserve"> </v>
      </c>
      <c r="O78" s="103" t="str">
        <f xml:space="preserve"> IF( AND( SUM( O74:$AC74 )&gt;0, SUM(P74:$AD74)=0, SUM($M74:N74)&gt;$M74 ), " and ", " " )</f>
        <v xml:space="preserve"> </v>
      </c>
      <c r="P78" s="103" t="str">
        <f xml:space="preserve"> IF( AND( SUM( P74:$AC74 )&gt;0, SUM(Q74:$AD74)=0, SUM($M74:O74)&gt;$M74 ), " and ", " " )</f>
        <v xml:space="preserve"> </v>
      </c>
      <c r="Q78" s="103" t="str">
        <f xml:space="preserve"> IF( AND( SUM( Q74:$AC74 )&gt;0, SUM(R74:$AD74)=0, SUM($M74:P74)&gt;$M74 ), " and ", " " )</f>
        <v xml:space="preserve"> </v>
      </c>
      <c r="R78" s="103" t="str">
        <f xml:space="preserve"> IF( AND( SUM( R74:$AC74 )&gt;0, SUM(S74:$AD74)=0, SUM($M74:Q74)&gt;$M74 ), " and ", " " )</f>
        <v xml:space="preserve"> </v>
      </c>
      <c r="S78" s="103" t="str">
        <f xml:space="preserve"> IF( AND( SUM( S74:$AC74 )&gt;0, SUM(T74:$AD74)=0, SUM($M74:R74)&gt;$M74 ), " and ", " " )</f>
        <v xml:space="preserve"> </v>
      </c>
      <c r="T78" s="103" t="str">
        <f xml:space="preserve"> IF( AND( SUM( T74:$AC74 )&gt;0, SUM(U74:$AD74)=0, SUM($M74:S74)&gt;$M74 ), " and ", " " )</f>
        <v xml:space="preserve"> </v>
      </c>
      <c r="U78" s="103" t="str">
        <f xml:space="preserve"> IF( AND( SUM( U74:$AC74 )&gt;0, SUM(V74:$AD74)=0, SUM($M74:T74)&gt;$M74 ), " and ", " " )</f>
        <v xml:space="preserve"> </v>
      </c>
      <c r="V78" s="103" t="str">
        <f xml:space="preserve"> IF( AND( SUM( V74:$AC74 )&gt;0, SUM(W74:$AD74)=0, SUM($M74:U74)&gt;$M74 ), " and ", " " )</f>
        <v xml:space="preserve"> </v>
      </c>
      <c r="W78" s="103" t="str">
        <f xml:space="preserve"> IF( AND( SUM( W74:$AC74 )&gt;0, SUM(X74:$AD74)=0, SUM($M74:V74)&gt;$M74 ), " and ", " " )</f>
        <v xml:space="preserve"> </v>
      </c>
      <c r="X78" s="103" t="str">
        <f xml:space="preserve"> IF( AND( SUM( X74:$AC74 )&gt;0, SUM(Y74:$AD74)=0, SUM($M74:W74)&gt;$M74 ), " and ", " " )</f>
        <v xml:space="preserve"> </v>
      </c>
      <c r="Y78" s="103" t="str">
        <f xml:space="preserve"> IF( AND( SUM( Y74:$AC74 )&gt;0, SUM(Z74:$AD74)=0, SUM($M74:X74)&gt;$M74 ), " and ", " " )</f>
        <v xml:space="preserve"> </v>
      </c>
      <c r="Z78" s="103" t="str">
        <f xml:space="preserve"> IF( AND( SUM( Z74:$AC74 )&gt;0, SUM(AA74:$AD74)=0, SUM($M74:Y74)&gt;$M74 ), " and ", " " )</f>
        <v xml:space="preserve"> </v>
      </c>
      <c r="AA78" s="103" t="str">
        <f xml:space="preserve"> IF( AND( SUM( AA74:$AC74 )&gt;0, SUM(AB74:$AD74)=0, SUM($M74:Z74)&gt;$M74 ), " and ", " " )</f>
        <v xml:space="preserve"> </v>
      </c>
      <c r="AB78" s="103" t="str">
        <f xml:space="preserve"> IF( AND( SUM( AB74:$AC74 )&gt;0, SUM(AC74:$AD74)=0, SUM($M74:AA74)&gt;$M74 ), " and ", " " )</f>
        <v xml:space="preserve"> </v>
      </c>
      <c r="AC78" s="103" t="str">
        <f xml:space="preserve"> IF( AND( SUM( AC74:$AC74 )&gt;0, SUM(AD74:$AD74)=0, SUM($M74:AB74)&gt;$M74 ), " and ", " " )</f>
        <v xml:space="preserve"> </v>
      </c>
      <c r="AD78" s="103" t="str">
        <f xml:space="preserve"> IF( AND( SUM( $AC74:AD74 )&gt;0, SUM($AD74:AE74)=0, SUM($M74:AC74)&gt;$M74 ), " and ", " " )</f>
        <v xml:space="preserve"> </v>
      </c>
      <c r="AE78" s="103"/>
    </row>
    <row r="79" spans="12:31">
      <c r="M79" s="103"/>
      <c r="N79" s="103" t="str">
        <f xml:space="preserve"> IF(  AND( SUM( $M74:M74 )&gt;$M74, COUNTIF( $N74:$AD74, "&gt;0" )&gt;2),  ",",  ""  )</f>
        <v/>
      </c>
      <c r="O79" s="103" t="str">
        <f xml:space="preserve"> IF(  AND( SUM( $M74:N74 )&gt;$M74, COUNTIF( $N74:$AD74, "&gt;0" )&gt;2),  ",",  ""  )</f>
        <v/>
      </c>
      <c r="P79" s="103" t="str">
        <f xml:space="preserve"> IF(  AND( SUM( $M74:O74 )&gt;$M74, COUNTIF( $N74:$AD74, "&gt;0" )&gt;2),  ",",  ""  )</f>
        <v/>
      </c>
      <c r="Q79" s="103" t="str">
        <f xml:space="preserve"> IF(  AND( SUM( $M74:P74 )&gt;$M74, COUNTIF( $N74:$AD74, "&gt;0" )&gt;2),  ",",  ""  )</f>
        <v/>
      </c>
      <c r="R79" s="103" t="str">
        <f xml:space="preserve"> IF(  AND( SUM( $M74:Q74 )&gt;$M74, COUNTIF( $N74:$AD74, "&gt;0" )&gt;2),  ",",  ""  )</f>
        <v/>
      </c>
      <c r="S79" s="103" t="str">
        <f xml:space="preserve"> IF(  AND( SUM( $M74:R74 )&gt;$M74, COUNTIF( $N74:$AD74, "&gt;0" )&gt;2),  ",",  ""  )</f>
        <v/>
      </c>
      <c r="T79" s="103" t="str">
        <f xml:space="preserve"> IF(  AND( SUM( $M74:S74 )&gt;$M74, COUNTIF( $N74:$AD74, "&gt;0" )&gt;2),  ",",  ""  )</f>
        <v/>
      </c>
      <c r="U79" s="103" t="str">
        <f xml:space="preserve"> IF(  AND( SUM( $M74:T74 )&gt;$M74, COUNTIF( $N74:$AD74, "&gt;0" )&gt;2),  ",",  ""  )</f>
        <v/>
      </c>
      <c r="V79" s="103" t="str">
        <f xml:space="preserve"> IF(  AND( SUM( $M74:U74 )&gt;$M74, COUNTIF( $N74:$AD74, "&gt;0" )&gt;2),  ",",  ""  )</f>
        <v/>
      </c>
      <c r="W79" s="103" t="str">
        <f xml:space="preserve"> IF(  AND( SUM( $M74:V74 )&gt;$M74, COUNTIF( $N74:$AD74, "&gt;0" )&gt;2),  ",",  ""  )</f>
        <v/>
      </c>
      <c r="X79" s="103" t="str">
        <f xml:space="preserve"> IF(  AND( SUM( $M74:W74 )&gt;$M74, COUNTIF( $N74:$AD74, "&gt;0" )&gt;2),  ",",  ""  )</f>
        <v/>
      </c>
      <c r="Y79" s="103" t="str">
        <f xml:space="preserve"> IF(  AND( SUM( $M74:X74 )&gt;$M74, COUNTIF( $N74:$AD74, "&gt;0" )&gt;2),  ",",  ""  )</f>
        <v/>
      </c>
      <c r="Z79" s="103" t="str">
        <f xml:space="preserve"> IF(  AND( SUM( $M74:Y74 )&gt;$M74, COUNTIF( $N74:$AD74, "&gt;0" )&gt;2),  ",",  ""  )</f>
        <v/>
      </c>
      <c r="AA79" s="103" t="str">
        <f xml:space="preserve"> IF(  AND( SUM( $M74:Z74 )&gt;$M74, COUNTIF( $N74:$AD74, "&gt;0" )&gt;2),  ",",  ""  )</f>
        <v/>
      </c>
      <c r="AB79" s="103" t="str">
        <f xml:space="preserve"> IF(  AND( SUM( $M74:AA74 )&gt;$M74, COUNTIF( $N74:$AD74, "&gt;0" )&gt;2),  ",",  ""  )</f>
        <v/>
      </c>
      <c r="AC79" s="103" t="str">
        <f xml:space="preserve"> IF(  AND( SUM( $M74:AB74 )&gt;$M74, COUNTIF( $N74:$AD74, "&gt;0" )&gt;2),  ",",  ""  )</f>
        <v/>
      </c>
      <c r="AD79" s="103" t="str">
        <f xml:space="preserve"> IF(  AND( SUM( $M74:AC74 )&gt;$M74, COUNTIF( $N74:$AD74, "&gt;0" )&gt;2),  ",",  ""  )</f>
        <v/>
      </c>
      <c r="AE79" s="103"/>
    </row>
    <row r="80" spans="12:31">
      <c r="M80" s="103" t="str">
        <f xml:space="preserve"> CONCATENATE( M79 &amp; M78 &amp; M77 )</f>
        <v>six facilitiess</v>
      </c>
      <c r="N80" s="103" t="str">
        <f xml:space="preserve"> CONCATENATE( N79 &amp; N78 &amp; N77 )</f>
        <v xml:space="preserve"> no 0 dton multi-environment spaces</v>
      </c>
      <c r="O80" s="103" t="str">
        <f t="shared" ref="O80:V80" si="83" xml:space="preserve"> CONCATENATE( O79 &amp; O78 &amp; O77 )</f>
        <v xml:space="preserve"> no tons of biosphere / hydroponic garden</v>
      </c>
      <c r="P80" s="103" t="str">
        <f t="shared" si="83"/>
        <v xml:space="preserve"> six escape capsules</v>
      </c>
      <c r="Q80" s="103" t="str">
        <f t="shared" si="83"/>
        <v xml:space="preserve"> no autodocs</v>
      </c>
      <c r="R80" s="103" t="str">
        <f t="shared" si="83"/>
        <v xml:space="preserve"> no medical bays</v>
      </c>
      <c r="S80" s="103" t="str">
        <f t="shared" si="83"/>
        <v xml:space="preserve"> no tons of armoury</v>
      </c>
      <c r="T80" s="103" t="str">
        <f t="shared" si="83"/>
        <v xml:space="preserve"> no tons of troop training facilities</v>
      </c>
      <c r="U80" s="103" t="str">
        <f t="shared" si="83"/>
        <v xml:space="preserve"> no briefing rooms</v>
      </c>
      <c r="V80" s="103" t="str">
        <f t="shared" si="83"/>
        <v xml:space="preserve"> no libraries</v>
      </c>
      <c r="W80" s="103" t="str">
        <f t="shared" ref="W80:AD80" si="84" xml:space="preserve"> CONCATENATE( W79 &amp; W78 &amp; W77 )</f>
        <v xml:space="preserve"> no workshops</v>
      </c>
      <c r="X80" s="103" t="str">
        <f t="shared" si="84"/>
        <v xml:space="preserve"> no </v>
      </c>
      <c r="Y80" s="103" t="str">
        <f t="shared" si="84"/>
        <v xml:space="preserve"> no none</v>
      </c>
      <c r="Z80" s="103" t="str">
        <f t="shared" si="84"/>
        <v xml:space="preserve"> no none</v>
      </c>
      <c r="AA80" s="103" t="str">
        <f t="shared" si="84"/>
        <v xml:space="preserve"> no none</v>
      </c>
      <c r="AB80" s="103" t="str">
        <f t="shared" si="84"/>
        <v xml:space="preserve"> no none</v>
      </c>
      <c r="AC80" s="103" t="str">
        <f t="shared" si="84"/>
        <v xml:space="preserve"> no none</v>
      </c>
      <c r="AD80" s="103" t="str">
        <f t="shared" si="84"/>
        <v xml:space="preserve"> no none</v>
      </c>
      <c r="AE80" s="103"/>
    </row>
    <row r="81" spans="12:31">
      <c r="L81" s="92" t="str">
        <f>N81</f>
        <v xml:space="preserve"> six escape capsules. </v>
      </c>
      <c r="M81" s="103"/>
      <c r="N81" s="103" t="str">
        <f t="shared" ref="N81" si="85" xml:space="preserve"> CONCATENATE( IF( N74&gt;0, N80, "" ) &amp; O81 )</f>
        <v xml:space="preserve"> six escape capsules. </v>
      </c>
      <c r="O81" s="103" t="str">
        <f t="shared" ref="O81" si="86" xml:space="preserve"> CONCATENATE( IF( O74&gt;0, O80, "" ) &amp; P81 )</f>
        <v xml:space="preserve"> six escape capsules. </v>
      </c>
      <c r="P81" s="103" t="str">
        <f t="shared" ref="P81" si="87" xml:space="preserve"> CONCATENATE( IF( P74&gt;0, P80, "" ) &amp; Q81 )</f>
        <v xml:space="preserve"> six escape capsules. </v>
      </c>
      <c r="Q81" s="103" t="str">
        <f t="shared" ref="Q81" si="88" xml:space="preserve"> CONCATENATE( IF( Q74&gt;0, Q80, "" ) &amp; R81 )</f>
        <v xml:space="preserve">. </v>
      </c>
      <c r="R81" s="103" t="str">
        <f t="shared" ref="R81" si="89" xml:space="preserve"> CONCATENATE( IF( R74&gt;0, R80, "" ) &amp; S81 )</f>
        <v xml:space="preserve">. </v>
      </c>
      <c r="S81" s="103" t="str">
        <f t="shared" ref="S81" si="90" xml:space="preserve"> CONCATENATE( IF( S74&gt;0, S80, "" ) &amp; T81 )</f>
        <v xml:space="preserve">. </v>
      </c>
      <c r="T81" s="103" t="str">
        <f t="shared" ref="T81" si="91" xml:space="preserve"> CONCATENATE( IF( T74&gt;0, T80, "" ) &amp; U81 )</f>
        <v xml:space="preserve">. </v>
      </c>
      <c r="U81" s="103" t="str">
        <f t="shared" ref="U81" si="92" xml:space="preserve"> CONCATENATE( IF( U74&gt;0, U80, "" ) &amp; V81 )</f>
        <v xml:space="preserve">. </v>
      </c>
      <c r="V81" s="103" t="str">
        <f t="shared" ref="V81" si="93" xml:space="preserve"> CONCATENATE( IF( V74&gt;0, V80, "" ) &amp; W81 )</f>
        <v xml:space="preserve">. </v>
      </c>
      <c r="W81" s="103" t="str">
        <f t="shared" ref="W81" si="94" xml:space="preserve"> CONCATENATE( IF( W74&gt;0, W80, "" ) &amp; X81 )</f>
        <v xml:space="preserve">. </v>
      </c>
      <c r="X81" s="103" t="str">
        <f t="shared" ref="X81" si="95" xml:space="preserve"> CONCATENATE( IF( X74&gt;0, X80, "" ) &amp; Y81 )</f>
        <v xml:space="preserve">. </v>
      </c>
      <c r="Y81" s="103" t="str">
        <f t="shared" ref="Y81" si="96" xml:space="preserve"> CONCATENATE( IF( Y74&gt;0, Y80, "" ) &amp; Z81 )</f>
        <v xml:space="preserve">. </v>
      </c>
      <c r="Z81" s="103" t="str">
        <f t="shared" ref="Z81" si="97" xml:space="preserve"> CONCATENATE( IF( Z74&gt;0, Z80, "" ) &amp; AA81 )</f>
        <v xml:space="preserve">. </v>
      </c>
      <c r="AA81" s="103" t="str">
        <f t="shared" ref="AA81" si="98" xml:space="preserve"> CONCATENATE( IF( AA74&gt;0, AA80, "" ) &amp; AB81 )</f>
        <v xml:space="preserve">. </v>
      </c>
      <c r="AB81" s="103" t="str">
        <f t="shared" ref="AB81" si="99" xml:space="preserve"> CONCATENATE( IF( AB74&gt;0, AB80, "" ) &amp; AC81 )</f>
        <v xml:space="preserve">. </v>
      </c>
      <c r="AC81" s="103" t="str">
        <f t="shared" ref="AC81" si="100" xml:space="preserve"> CONCATENATE( IF( AC74&gt;0, AC80, "" ) &amp; AD81 )</f>
        <v xml:space="preserve">. </v>
      </c>
      <c r="AD81" s="103" t="str">
        <f t="shared" ref="AD81" si="101" xml:space="preserve"> CONCATENATE( IF( AD74&gt;0, AD80, "" ) &amp; AE81 )</f>
        <v xml:space="preserve">. </v>
      </c>
      <c r="AE81" s="103" t="str">
        <f>". "</f>
        <v xml:space="preserve">. </v>
      </c>
    </row>
    <row r="83" spans="12:31">
      <c r="S83" s="92">
        <v>2</v>
      </c>
      <c r="T83" s="92">
        <f>S83+1</f>
        <v>3</v>
      </c>
      <c r="U83" s="92">
        <f t="shared" ref="U83:Y83" si="102">T83+1</f>
        <v>4</v>
      </c>
      <c r="V83" s="92">
        <f t="shared" si="102"/>
        <v>5</v>
      </c>
      <c r="W83" s="92">
        <f t="shared" si="102"/>
        <v>6</v>
      </c>
      <c r="X83" s="92">
        <f t="shared" si="102"/>
        <v>7</v>
      </c>
      <c r="Y83" s="92">
        <f t="shared" si="102"/>
        <v>8</v>
      </c>
    </row>
    <row r="84" spans="12:31">
      <c r="L84" s="92" t="s">
        <v>385</v>
      </c>
      <c r="M84" s="103" t="s">
        <v>218</v>
      </c>
      <c r="N84" s="104" t="str">
        <f xml:space="preserve"> IFERROR( LOWER( T( INDEX( Ship!$A$60:$AU$67, COLUMN(N84)-13, 36 ) ) ), "none" )</f>
        <v>name</v>
      </c>
      <c r="O84" s="104" t="str">
        <f xml:space="preserve"> IFERROR( LOWER( T( INDEX( Ship!$A$60:$AU$67, COLUMN(O84)-13, 36 ) ) ), "none" )</f>
        <v>civilian sensor</v>
      </c>
      <c r="P84" s="104" t="str">
        <f xml:space="preserve"> IFERROR( LOWER( T( INDEX( Ship!$A$60:$AU$67, COLUMN(P84)-13, 36 ) ) ), "none" )</f>
        <v>none array</v>
      </c>
      <c r="Q84" s="104" t="str">
        <f xml:space="preserve"> IFERROR( LOWER( T( INDEX( Ship!$A$60:$AU$67, COLUMN(Q84)-13, 36 ) ) ), "none" )</f>
        <v>none extension net</v>
      </c>
      <c r="R84" s="104" t="str">
        <f xml:space="preserve"> IFERROR( LOWER( T( INDEX( Ship!$A$60:$AU$67, COLUMN(R84)-13, 36 ) ) ), "none" )</f>
        <v>none signal processor</v>
      </c>
      <c r="S84" s="104" t="str">
        <f xml:space="preserve"> IFERROR( LOWER( T( INDEX( Ship!$A$60:$AU$67, COLUMN(S84)-13, 36 ) ) ), "none" )</f>
        <v>none countermeasures suite</v>
      </c>
      <c r="T84" s="104" t="str">
        <f xml:space="preserve"> IFERROR( LOWER( T( INDEX( Ship!$A$60:$AU$67, COLUMN(T84)-13, 36 ) ) ), "none" )</f>
        <v>shallow penetration suite</v>
      </c>
      <c r="U84" s="104" t="str">
        <f xml:space="preserve"> IFERROR( LOWER( T( INDEX( Ship!$A$60:$AU$67, COLUMN(U84)-13, 36 ) ) ), "none" )</f>
        <v/>
      </c>
      <c r="V84" s="104" t="str">
        <f xml:space="preserve"> IFERROR( LOWER( T( INDEX( Ship!$A$60:$AU$67, COLUMN(V84)-13, 36 ) ) ), "none" )</f>
        <v>none</v>
      </c>
      <c r="W84" s="104" t="str">
        <f xml:space="preserve"> IFERROR( LOWER( T( INDEX( Ship!$A$60:$AU$67, COLUMN(W84)-13, 36 ) ) ), "none" )</f>
        <v>none</v>
      </c>
      <c r="X84" s="104" t="str">
        <f xml:space="preserve"> IFERROR( LOWER( T( INDEX( Ship!$A$60:$AU$67, COLUMN(X84)-13, 36 ) ) ), "none" )</f>
        <v>none</v>
      </c>
      <c r="Y84" s="104" t="str">
        <f xml:space="preserve"> IFERROR( LOWER( T( INDEX( Ship!$A$60:$AU$67, COLUMN(Y84)-13, 36 ) ) ), "none" )</f>
        <v>none</v>
      </c>
      <c r="Z84" s="103"/>
    </row>
    <row r="85" spans="12:31">
      <c r="L85" s="92" t="s">
        <v>279</v>
      </c>
      <c r="M85" s="104" t="str">
        <f xml:space="preserve"> IF( IFERROR( SEARCH( LOWER( LEFT( M84, 1 ) ), vowels ), 0 )&gt;0, "an", "a" )</f>
        <v>a</v>
      </c>
      <c r="N85" s="104" t="str">
        <f t="shared" ref="N85:Y85" si="103" xml:space="preserve"> IF( IFERROR( SEARCH( LOWER( LEFT( N84, 1 ) ), vowels ), 0 )&gt;0, "an", "a" )</f>
        <v>a</v>
      </c>
      <c r="O85" s="104" t="str">
        <f t="shared" si="103"/>
        <v>a</v>
      </c>
      <c r="P85" s="104" t="str">
        <f t="shared" si="103"/>
        <v>a</v>
      </c>
      <c r="Q85" s="104" t="str">
        <f t="shared" si="103"/>
        <v>a</v>
      </c>
      <c r="R85" s="104" t="str">
        <f t="shared" si="103"/>
        <v>a</v>
      </c>
      <c r="S85" s="104" t="str">
        <f t="shared" si="103"/>
        <v>a</v>
      </c>
      <c r="T85" s="104" t="str">
        <f t="shared" si="103"/>
        <v>a</v>
      </c>
      <c r="U85" s="104" t="str">
        <f t="shared" si="103"/>
        <v>an</v>
      </c>
      <c r="V85" s="104" t="str">
        <f t="shared" si="103"/>
        <v>a</v>
      </c>
      <c r="W85" s="104" t="str">
        <f t="shared" si="103"/>
        <v>a</v>
      </c>
      <c r="X85" s="104" t="str">
        <f t="shared" si="103"/>
        <v>a</v>
      </c>
      <c r="Y85" s="104" t="str">
        <f t="shared" si="103"/>
        <v>a</v>
      </c>
      <c r="Z85" s="103"/>
    </row>
    <row r="86" spans="12:31">
      <c r="M86" s="104" t="s">
        <v>310</v>
      </c>
      <c r="N86" s="104" t="s">
        <v>310</v>
      </c>
      <c r="O86" s="104" t="s">
        <v>310</v>
      </c>
      <c r="P86" s="104" t="s">
        <v>310</v>
      </c>
      <c r="Q86" s="104" t="s">
        <v>310</v>
      </c>
      <c r="R86" s="104" t="s">
        <v>310</v>
      </c>
      <c r="S86" s="104" t="s">
        <v>310</v>
      </c>
      <c r="T86" s="104" t="s">
        <v>310</v>
      </c>
      <c r="U86" s="104" t="s">
        <v>310</v>
      </c>
      <c r="V86" s="104" t="s">
        <v>310</v>
      </c>
      <c r="W86" s="104" t="s">
        <v>310</v>
      </c>
      <c r="X86" s="104" t="s">
        <v>310</v>
      </c>
      <c r="Y86" s="104" t="s">
        <v>310</v>
      </c>
      <c r="Z86" s="103"/>
    </row>
    <row r="87" spans="12:31">
      <c r="L87" s="92">
        <f>M87</f>
        <v>1</v>
      </c>
      <c r="M87" s="103">
        <f>SUM( N87:Y87 )</f>
        <v>1</v>
      </c>
      <c r="N87" s="104">
        <f xml:space="preserve"> IFERROR( N( INDEX( Ship!$A$60:$AU$67, COLUMN(N87)-13, 7 ) ), 0 )</f>
        <v>0</v>
      </c>
      <c r="O87" s="104">
        <f xml:space="preserve"> IFERROR( N( INDEX( Ship!$A$60:$AU$67, COLUMN(O87)-13, 7 ) ), 0 )</f>
        <v>1</v>
      </c>
      <c r="P87" s="104">
        <f xml:space="preserve"> IFERROR( N( INDEX( Ship!$A$60:$AU$67, COLUMN(P87)-13, 7 ) ), 0 )</f>
        <v>0</v>
      </c>
      <c r="Q87" s="104">
        <f xml:space="preserve"> IFERROR( N( INDEX( Ship!$A$60:$AU$67, COLUMN(Q87)-13, 7 ) ), 0 )</f>
        <v>0</v>
      </c>
      <c r="R87" s="104">
        <f xml:space="preserve"> IFERROR( N( INDEX( Ship!$A$60:$AU$67, COLUMN(R87)-13, 7 ) ), 0 )</f>
        <v>0</v>
      </c>
      <c r="S87" s="104">
        <f xml:space="preserve"> IFERROR( N( INDEX( Ship!$A$60:$AU$67, COLUMN(S87)-13, 7 ) ), 0 )</f>
        <v>0</v>
      </c>
      <c r="T87" s="104">
        <f xml:space="preserve"> IFERROR( N( INDEX( Ship!$A$60:$AU$67, COLUMN(T87)-13, 7 ) ), 0 )</f>
        <v>0</v>
      </c>
      <c r="U87" s="104">
        <f xml:space="preserve"> IFERROR( N( INDEX( Ship!$A$60:$AU$67, COLUMN(U87)-13, 7 ) ), 0 )</f>
        <v>0</v>
      </c>
      <c r="V87" s="104">
        <f xml:space="preserve"> IFERROR( N( INDEX( Ship!$A$60:$AU$67, COLUMN(V87)-13, 7 ) ), 0 )</f>
        <v>0</v>
      </c>
      <c r="W87" s="104">
        <f xml:space="preserve"> IFERROR( N( INDEX( Ship!$A$60:$AU$67, COLUMN(W87)-13, 7 ) ), 0 )</f>
        <v>0</v>
      </c>
      <c r="X87" s="104">
        <f xml:space="preserve"> IFERROR( N( INDEX( Ship!$A$60:$AU$67, COLUMN(X87)-13, 7 ) ), 0 )</f>
        <v>0</v>
      </c>
      <c r="Y87" s="104">
        <f xml:space="preserve"> IFERROR( N( INDEX( Ship!$A$60:$AU$67, COLUMN(Y87)-13, 7 ) ), 0 )</f>
        <v>0</v>
      </c>
      <c r="Z87" s="103"/>
    </row>
    <row r="88" spans="12:31">
      <c r="L88" s="92" t="str">
        <f xml:space="preserve"> IF( L87=0, "no", IF( L87=1, L85, IF( L87&lt;=12, VLOOKUP( L87, Tables!$B$2:$D$36, 3 ), L87 ) ) )</f>
        <v>one</v>
      </c>
      <c r="M88" s="104" t="str">
        <f xml:space="preserve"> IF( M87=0, "no", IF( M87=1, M85, IF( M87&lt;=12, VLOOKUP( M87, Tables!$B$2:$D$36, 3 ), M87 ) ) )</f>
        <v>a</v>
      </c>
      <c r="N88" s="104" t="str">
        <f xml:space="preserve"> IF( N87=0, "no", IF( N87=1, N85, IF( N87&lt;=12, VLOOKUP( N87, Tables!$B$2:$D$36, 3 ), N87 ) ) )</f>
        <v>no</v>
      </c>
      <c r="O88" s="104" t="str">
        <f xml:space="preserve"> IF( O87=0, "no", IF( O87=1, O85, IF( O87&lt;=12, VLOOKUP( O87, Tables!$B$2:$D$36, 3 ), O87 ) ) )</f>
        <v>a</v>
      </c>
      <c r="P88" s="104" t="str">
        <f xml:space="preserve"> IF( P87=0, "no", IF( P87=1, P85, IF( P87&lt;=12, VLOOKUP( P87, Tables!$B$2:$D$36, 3 ), P87 ) ) )</f>
        <v>no</v>
      </c>
      <c r="Q88" s="104" t="str">
        <f xml:space="preserve"> IF( Q87=0, "no", IF( Q87=1, Q85, IF( Q87&lt;=12, VLOOKUP( Q87, Tables!$B$2:$D$36, 3 ), Q87 ) ) )</f>
        <v>no</v>
      </c>
      <c r="R88" s="104" t="str">
        <f xml:space="preserve"> IF( R87=0, "no", IF( R87=1, R85, IF( R87&lt;=12, VLOOKUP( R87, Tables!$B$2:$D$36, 3 ), R87 ) ) )</f>
        <v>no</v>
      </c>
      <c r="S88" s="104" t="str">
        <f xml:space="preserve"> IF( S87=0, "no", IF( S87=1, S85, IF( S87&lt;=12, VLOOKUP( S87, Tables!$B$2:$D$36, 3 ), S87 ) ) )</f>
        <v>no</v>
      </c>
      <c r="T88" s="104" t="str">
        <f xml:space="preserve"> IF( T87=0, "no", IF( T87=1, T85, IF( T87&lt;=12, VLOOKUP( T87, Tables!$B$2:$D$36, 3 ), T87 ) ) )</f>
        <v>no</v>
      </c>
      <c r="U88" s="104" t="str">
        <f xml:space="preserve"> IF( U87=0, "no", IF( U87=1, U85, IF( U87&lt;=12, VLOOKUP( U87, Tables!$B$2:$D$36, 3 ), U87 ) ) )</f>
        <v>no</v>
      </c>
      <c r="V88" s="104" t="str">
        <f xml:space="preserve"> IF( V87=0, "no", IF( V87=1, V85, IF( V87&lt;=12, VLOOKUP( V87, Tables!$B$2:$D$36, 3 ), V87 ) ) )</f>
        <v>no</v>
      </c>
      <c r="W88" s="104" t="str">
        <f xml:space="preserve"> IF( W87=0, "no", IF( W87=1, W85, IF( W87&lt;=12, VLOOKUP( W87, Tables!$B$2:$D$36, 3 ), W87 ) ) )</f>
        <v>no</v>
      </c>
      <c r="X88" s="104" t="str">
        <f xml:space="preserve"> IF( X87=0, "no", IF( X87=1, X85, IF( X87&lt;=12, VLOOKUP( X87, Tables!$B$2:$D$36, 3 ), X87 ) ) )</f>
        <v>no</v>
      </c>
      <c r="Y88" s="104" t="str">
        <f xml:space="preserve"> IF( Y87=0, "no", IF( Y87=1, Y85, IF( Y87&lt;=12, VLOOKUP( Y87, Tables!$B$2:$D$36, 3 ), Y87 ) ) )</f>
        <v>no</v>
      </c>
      <c r="Z88" s="103"/>
    </row>
    <row r="89" spans="12:31">
      <c r="M89" s="104" t="str">
        <f xml:space="preserve"> IF( M87&lt;&gt;1, T(M86), "" )</f>
        <v/>
      </c>
      <c r="N89" s="104" t="str">
        <f t="shared" ref="N89:Y89" si="104" xml:space="preserve"> IF( N87&lt;&gt;1, T(N86), "" )</f>
        <v>s</v>
      </c>
      <c r="O89" s="104" t="str">
        <f t="shared" si="104"/>
        <v/>
      </c>
      <c r="P89" s="104" t="str">
        <f t="shared" si="104"/>
        <v>s</v>
      </c>
      <c r="Q89" s="104" t="str">
        <f t="shared" si="104"/>
        <v>s</v>
      </c>
      <c r="R89" s="104" t="str">
        <f t="shared" si="104"/>
        <v>s</v>
      </c>
      <c r="S89" s="104" t="str">
        <f t="shared" si="104"/>
        <v>s</v>
      </c>
      <c r="T89" s="104" t="str">
        <f t="shared" si="104"/>
        <v>s</v>
      </c>
      <c r="U89" s="104" t="str">
        <f t="shared" si="104"/>
        <v>s</v>
      </c>
      <c r="V89" s="104" t="str">
        <f t="shared" si="104"/>
        <v>s</v>
      </c>
      <c r="W89" s="104" t="str">
        <f t="shared" si="104"/>
        <v>s</v>
      </c>
      <c r="X89" s="104" t="str">
        <f t="shared" si="104"/>
        <v>s</v>
      </c>
      <c r="Y89" s="104" t="str">
        <f t="shared" si="104"/>
        <v>s</v>
      </c>
      <c r="Z89" s="103"/>
    </row>
    <row r="90" spans="12:31">
      <c r="M90" s="103" t="str">
        <f t="shared" ref="M90" si="105" xml:space="preserve"> CONCATENATE( M88 &amp; " " &amp; M84 &amp; M89 )</f>
        <v>a sensor</v>
      </c>
      <c r="N90" s="103" t="str">
        <f t="shared" ref="N90:R90" si="106" xml:space="preserve"> CONCATENATE( N88 &amp; " " &amp; N84 &amp; N89 )</f>
        <v>no names</v>
      </c>
      <c r="O90" s="103" t="str">
        <f t="shared" si="106"/>
        <v>a civilian sensor</v>
      </c>
      <c r="P90" s="103" t="str">
        <f t="shared" si="106"/>
        <v>no none arrays</v>
      </c>
      <c r="Q90" s="103" t="str">
        <f t="shared" si="106"/>
        <v>no none extension nets</v>
      </c>
      <c r="R90" s="103" t="str">
        <f t="shared" si="106"/>
        <v>no none signal processors</v>
      </c>
      <c r="S90" s="103" t="str">
        <f t="shared" ref="S90:Y90" si="107" xml:space="preserve"> CONCATENATE( S88 &amp; " " &amp; S84 &amp; S89 )</f>
        <v>no none countermeasures suites</v>
      </c>
      <c r="T90" s="103" t="str">
        <f t="shared" si="107"/>
        <v>no shallow penetration suites</v>
      </c>
      <c r="U90" s="103" t="str">
        <f t="shared" si="107"/>
        <v>no s</v>
      </c>
      <c r="V90" s="103" t="str">
        <f t="shared" si="107"/>
        <v>no nones</v>
      </c>
      <c r="W90" s="103" t="str">
        <f t="shared" si="107"/>
        <v>no nones</v>
      </c>
      <c r="X90" s="103" t="str">
        <f t="shared" si="107"/>
        <v>no nones</v>
      </c>
      <c r="Y90" s="103" t="str">
        <f t="shared" si="107"/>
        <v>no nones</v>
      </c>
      <c r="Z90" s="103"/>
    </row>
    <row r="91" spans="12:31">
      <c r="M91" s="103"/>
      <c r="N91" s="103" t="str">
        <f xml:space="preserve"> IF( AND( SUM( N87:$X87 )&gt;0, SUM(O87:$Y87)=0, SUM($M87:M87)&gt;$M87 ), IF(IFERROR(SEARCH("array",N84),0)&gt;0," with "," and "), " " )</f>
        <v xml:space="preserve"> </v>
      </c>
      <c r="O91" s="103" t="str">
        <f xml:space="preserve"> IF( AND( SUM( O87:$X87 )&gt;0, SUM(P87:$Y87)=0, SUM($M87:N87)&gt;$M87 ), IF(IFERROR(SEARCH("array",O84),0)&gt;0," with "," and "), " " )</f>
        <v xml:space="preserve"> </v>
      </c>
      <c r="P91" s="103" t="str">
        <f xml:space="preserve"> IF( AND( SUM( P87:$X87 )&gt;0, SUM(Q87:$Y87)=0, SUM($M87:O87)&gt;$M87 ), IF(IFERROR(SEARCH("array",P84),0)&gt;0," with "," and "), " " )</f>
        <v xml:space="preserve"> </v>
      </c>
      <c r="Q91" s="103" t="str">
        <f xml:space="preserve"> IF( AND( SUM( Q87:$X87 )&gt;0, SUM(R87:$Y87)=0, SUM($M87:P87)&gt;$M87 ), IF(IFERROR(SEARCH("array",Q84),0)&gt;0," with "," and "), " " )</f>
        <v xml:space="preserve"> </v>
      </c>
      <c r="R91" s="103" t="str">
        <f xml:space="preserve"> IF( AND( SUM( R87:$X87 )&gt;0, SUM(S87:$Y87)=0, SUM($M87:Q87)&gt;$M87 ), IF(IFERROR(SEARCH("array",R84),0)&gt;0," with "," and "), " " )</f>
        <v xml:space="preserve"> </v>
      </c>
      <c r="S91" s="103" t="str">
        <f xml:space="preserve"> IF( AND( SUM( S87:$X87 )&gt;0, SUM(T87:$Y87)=0, SUM($M87:R87)&gt;$M87 ), IF(IFERROR(SEARCH("array",S84),0)&gt;0," with "," and "), " " )</f>
        <v xml:space="preserve"> </v>
      </c>
      <c r="T91" s="103" t="str">
        <f xml:space="preserve"> IF( AND( SUM( T87:$X87 )&gt;0, SUM(U87:$Y87)=0, SUM($M87:S87)&gt;$M87 ), IF(IFERROR(SEARCH("array",T84),0)&gt;0," with "," and "), " " )</f>
        <v xml:space="preserve"> </v>
      </c>
      <c r="U91" s="103" t="str">
        <f xml:space="preserve"> IF( AND( SUM( U87:$X87 )&gt;0, SUM(V87:$Y87)=0, SUM($M87:T87)&gt;$M87 ), IF(IFERROR(SEARCH("array",U84),0)&gt;0," with "," and "), " " )</f>
        <v xml:space="preserve"> </v>
      </c>
      <c r="V91" s="103" t="str">
        <f xml:space="preserve"> IF( AND( SUM( V87:$X87 )&gt;0, SUM(W87:$Y87)=0, SUM($M87:U87)&gt;$M87 ), IF(IFERROR(SEARCH("array",V84),0)&gt;0," with "," and "), " " )</f>
        <v xml:space="preserve"> </v>
      </c>
      <c r="W91" s="103" t="str">
        <f xml:space="preserve"> IF( AND( SUM( W87:$X87 )&gt;0, SUM(X87:$Y87)=0, SUM($M87:V87)&gt;$M87 ), IF(IFERROR(SEARCH("array",W84),0)&gt;0," with "," and "), " " )</f>
        <v xml:space="preserve"> </v>
      </c>
      <c r="X91" s="103" t="str">
        <f xml:space="preserve"> IF( AND( SUM( X87:$X87 )&gt;0, SUM(Y87:$Y87)=0, SUM($M87:W87)&gt;$M87 ), IF(IFERROR(SEARCH("array",X84),0)&gt;0," with "," and "), " " )</f>
        <v xml:space="preserve"> </v>
      </c>
      <c r="Y91" s="103" t="str">
        <f xml:space="preserve"> IF( AND( SUM( $X87:Y87 )&gt;0, SUM($Y87:Z87)=0, SUM($M87:X87)&gt;$M87 ), IF(IFERROR(SEARCH("array",Y84),0)&gt;0," with "," and "), " " )</f>
        <v xml:space="preserve"> </v>
      </c>
      <c r="Z91" s="103"/>
    </row>
    <row r="92" spans="12:31">
      <c r="M92" s="103"/>
      <c r="N92" s="103" t="str">
        <f xml:space="preserve"> IF(  AND( SUM( $M87:M87 )&gt;$M87, COUNTIF( $N87:$Y87, "&gt;0" )&gt;2),  IF(IFERROR(SEARCH("array",N84),0)&gt;0," with",","),  ""  )</f>
        <v/>
      </c>
      <c r="O92" s="103" t="str">
        <f xml:space="preserve"> IF(  AND( SUM( $M87:N87 )&gt;$M87, COUNTIF( $N87:$Y87, "&gt;0" )&gt;2),  IF(IFERROR(SEARCH("array",O84),0)&gt;0," with",","),  ""  )</f>
        <v/>
      </c>
      <c r="P92" s="103" t="str">
        <f xml:space="preserve"> IF(  AND( SUM( $M87:O87 )&gt;$M87, COUNTIF( $N87:$Y87, "&gt;0" )&gt;2),  IF(IFERROR(SEARCH("array",P84),0)&gt;0," with",","),  ""  )</f>
        <v/>
      </c>
      <c r="Q92" s="103" t="str">
        <f xml:space="preserve"> IF(  AND( SUM( $M87:P87 )&gt;$M87, COUNTIF( $N87:$Y87, "&gt;0" )&gt;2),  IF(IFERROR(SEARCH("array",Q84),0)&gt;0," with",","),  ""  )</f>
        <v/>
      </c>
      <c r="R92" s="103" t="str">
        <f xml:space="preserve"> IF(  AND( SUM( $M87:Q87 )&gt;$M87, COUNTIF( $N87:$Y87, "&gt;0" )&gt;2),  IF(IFERROR(SEARCH("array",R84),0)&gt;0," with",","),  ""  )</f>
        <v/>
      </c>
      <c r="S92" s="103" t="str">
        <f xml:space="preserve"> IF(  AND( SUM( $M87:R87 )&gt;$M87, COUNTIF( $N87:$Y87, "&gt;0" )&gt;2),  IF(IFERROR(SEARCH("array",S84),0)&gt;0," with",","),  ""  )</f>
        <v/>
      </c>
      <c r="T92" s="103" t="str">
        <f xml:space="preserve"> IF(  AND( SUM( $M87:S87 )&gt;$M87, COUNTIF( $N87:$Y87, "&gt;0" )&gt;2),  IF(IFERROR(SEARCH("array",T84),0)&gt;0," with",","),  ""  )</f>
        <v/>
      </c>
      <c r="U92" s="103" t="str">
        <f xml:space="preserve"> IF(  AND( SUM( $M87:T87 )&gt;$M87, COUNTIF( $N87:$Y87, "&gt;0" )&gt;2),  IF(IFERROR(SEARCH("array",U84),0)&gt;0," with",","),  ""  )</f>
        <v/>
      </c>
      <c r="V92" s="103" t="str">
        <f xml:space="preserve"> IF(  AND( SUM( $M87:U87 )&gt;$M87, COUNTIF( $N87:$Y87, "&gt;0" )&gt;2),  IF(IFERROR(SEARCH("array",V84),0)&gt;0," with",","),  ""  )</f>
        <v/>
      </c>
      <c r="W92" s="103" t="str">
        <f xml:space="preserve"> IF(  AND( SUM( $M87:V87 )&gt;$M87, COUNTIF( $N87:$Y87, "&gt;0" )&gt;2),  IF(IFERROR(SEARCH("array",W84),0)&gt;0," with",","),  ""  )</f>
        <v/>
      </c>
      <c r="X92" s="103" t="str">
        <f xml:space="preserve"> IF(  AND( SUM( $M87:W87 )&gt;$M87, COUNTIF( $N87:$Y87, "&gt;0" )&gt;2),  IF(IFERROR(SEARCH("array",X84),0)&gt;0," with",","),  ""  )</f>
        <v/>
      </c>
      <c r="Y92" s="103" t="str">
        <f xml:space="preserve"> IF(  AND( SUM( $M87:X87 )&gt;$M87, COUNTIF( $N87:$Y87, "&gt;0" )&gt;2),  IF(IFERROR(SEARCH("array",Y84),0)&gt;0," with",","),  ""  )</f>
        <v/>
      </c>
      <c r="Z92" s="103"/>
    </row>
    <row r="93" spans="12:31">
      <c r="M93" s="103" t="str">
        <f xml:space="preserve"> CONCATENATE( M92 &amp; M91 &amp; M90 )</f>
        <v>a sensor</v>
      </c>
      <c r="N93" s="103" t="str">
        <f xml:space="preserve"> CONCATENATE( N92 &amp; N91 &amp; N90 )</f>
        <v xml:space="preserve"> no names</v>
      </c>
      <c r="O93" s="103" t="str">
        <f t="shared" ref="O93:Y93" si="108" xml:space="preserve"> CONCATENATE( O92 &amp; O91 &amp; O90 )</f>
        <v xml:space="preserve"> a civilian sensor</v>
      </c>
      <c r="P93" s="103" t="str">
        <f t="shared" si="108"/>
        <v xml:space="preserve"> no none arrays</v>
      </c>
      <c r="Q93" s="103" t="str">
        <f t="shared" si="108"/>
        <v xml:space="preserve"> no none extension nets</v>
      </c>
      <c r="R93" s="103" t="str">
        <f t="shared" si="108"/>
        <v xml:space="preserve"> no none signal processors</v>
      </c>
      <c r="S93" s="103" t="str">
        <f t="shared" si="108"/>
        <v xml:space="preserve"> no none countermeasures suites</v>
      </c>
      <c r="T93" s="103" t="str">
        <f t="shared" si="108"/>
        <v xml:space="preserve"> no shallow penetration suites</v>
      </c>
      <c r="U93" s="103" t="str">
        <f t="shared" si="108"/>
        <v xml:space="preserve"> no s</v>
      </c>
      <c r="V93" s="103" t="str">
        <f t="shared" si="108"/>
        <v xml:space="preserve"> no nones</v>
      </c>
      <c r="W93" s="103" t="str">
        <f t="shared" si="108"/>
        <v xml:space="preserve"> no nones</v>
      </c>
      <c r="X93" s="103" t="str">
        <f t="shared" si="108"/>
        <v xml:space="preserve"> no nones</v>
      </c>
      <c r="Y93" s="103" t="str">
        <f t="shared" si="108"/>
        <v xml:space="preserve"> no nones</v>
      </c>
      <c r="Z93" s="103"/>
    </row>
    <row r="94" spans="12:31">
      <c r="L94" s="92" t="str">
        <f>N94</f>
        <v xml:space="preserve"> a civilian sensor. </v>
      </c>
      <c r="M94" s="103"/>
      <c r="N94" s="103" t="str">
        <f t="shared" ref="N94" si="109" xml:space="preserve"> CONCATENATE( IF( N87&gt;0, N93, "" ) &amp; O94 )</f>
        <v xml:space="preserve"> a civilian sensor. </v>
      </c>
      <c r="O94" s="103" t="str">
        <f t="shared" ref="O94" si="110" xml:space="preserve"> CONCATENATE( IF( O87&gt;0, O93, "" ) &amp; P94 )</f>
        <v xml:space="preserve"> a civilian sensor. </v>
      </c>
      <c r="P94" s="103" t="str">
        <f t="shared" ref="P94" si="111" xml:space="preserve"> CONCATENATE( IF( P87&gt;0, P93, "" ) &amp; Q94 )</f>
        <v xml:space="preserve">. </v>
      </c>
      <c r="Q94" s="103" t="str">
        <f t="shared" ref="Q94" si="112" xml:space="preserve"> CONCATENATE( IF( Q87&gt;0, Q93, "" ) &amp; R94 )</f>
        <v xml:space="preserve">. </v>
      </c>
      <c r="R94" s="103" t="str">
        <f t="shared" ref="R94" si="113" xml:space="preserve"> CONCATENATE( IF( R87&gt;0, R93, "" ) &amp; S94 )</f>
        <v xml:space="preserve">. </v>
      </c>
      <c r="S94" s="103" t="str">
        <f t="shared" ref="S94" si="114" xml:space="preserve"> CONCATENATE( IF( S87&gt;0, S93, "" ) &amp; T94 )</f>
        <v xml:space="preserve">. </v>
      </c>
      <c r="T94" s="103" t="str">
        <f t="shared" ref="T94" si="115" xml:space="preserve"> CONCATENATE( IF( T87&gt;0, T93, "" ) &amp; U94 )</f>
        <v xml:space="preserve">. </v>
      </c>
      <c r="U94" s="103" t="str">
        <f t="shared" ref="U94" si="116" xml:space="preserve"> CONCATENATE( IF( U87&gt;0, U93, "" ) &amp; V94 )</f>
        <v xml:space="preserve">. </v>
      </c>
      <c r="V94" s="103" t="str">
        <f t="shared" ref="V94" si="117" xml:space="preserve"> CONCATENATE( IF( V87&gt;0, V93, "" ) &amp; W94 )</f>
        <v xml:space="preserve">. </v>
      </c>
      <c r="W94" s="103" t="str">
        <f t="shared" ref="W94" si="118" xml:space="preserve"> CONCATENATE( IF( W87&gt;0, W93, "" ) &amp; X94 )</f>
        <v xml:space="preserve">. </v>
      </c>
      <c r="X94" s="103" t="str">
        <f t="shared" ref="X94" si="119" xml:space="preserve"> CONCATENATE( IF( X87&gt;0, X93, "" ) &amp; Y94 )</f>
        <v xml:space="preserve">. </v>
      </c>
      <c r="Y94" s="103" t="str">
        <f t="shared" ref="Y94" si="120" xml:space="preserve"> CONCATENATE( IF( Y87&gt;0, Y93, "" ) &amp; Z94 )</f>
        <v xml:space="preserve">. </v>
      </c>
      <c r="Z94" s="103" t="str">
        <f>". "</f>
        <v xml:space="preserve">. </v>
      </c>
    </row>
    <row r="96" spans="12:31">
      <c r="M96" s="92">
        <f xml:space="preserve"> SUM( Ship!AJ108:AJ121 )</f>
        <v>0</v>
      </c>
      <c r="O96" s="92">
        <f>SUM( Ship!G105:G108 )</f>
        <v>0</v>
      </c>
    </row>
    <row r="97" spans="12:33">
      <c r="M97" s="92" t="str">
        <f xml:space="preserve"> IF( M96=0, "no", IF( M96=1, "a", IF( M96&lt;=12, VLOOKUP( M96, Tables!$B$2:$D$36, 3 ), M96 ) ) )</f>
        <v>no</v>
      </c>
      <c r="O97" s="92" t="str">
        <f xml:space="preserve"> IF( O96=0, "no", IF( O96=1, "a", IF( O96&lt;=12, VLOOKUP( O96, Tables!$B$2:$D$36, 3 ), O96 ) ) )</f>
        <v>no</v>
      </c>
    </row>
    <row r="98" spans="12:33">
      <c r="M98" s="92" t="str">
        <f xml:space="preserve"> IF( M96&lt;&gt;1, T("s"), "" )</f>
        <v>s</v>
      </c>
      <c r="O98" s="92" t="str">
        <f xml:space="preserve"> IF( O96&lt;&gt;1, T("s"), "" )</f>
        <v>s</v>
      </c>
    </row>
    <row r="99" spans="12:33">
      <c r="M99" s="92" t="str">
        <f xml:space="preserve"> IF( M96&gt;0, CONCATENATE( M97 &amp; " turret" &amp; M98 ), "" )</f>
        <v/>
      </c>
      <c r="O99" s="92" t="str">
        <f xml:space="preserve"> IF( O96&gt;0, CONCATENATE( O97 &amp; " barbette" &amp; O98 ), "" )</f>
        <v/>
      </c>
    </row>
    <row r="101" spans="12:33">
      <c r="M101" s="92">
        <v>1</v>
      </c>
      <c r="N101" s="92">
        <f>M101+1</f>
        <v>2</v>
      </c>
      <c r="O101" s="92">
        <f t="shared" ref="O101:AF101" si="121">N101+1</f>
        <v>3</v>
      </c>
      <c r="P101" s="92">
        <f t="shared" si="121"/>
        <v>4</v>
      </c>
      <c r="Q101" s="92">
        <f t="shared" si="121"/>
        <v>5</v>
      </c>
      <c r="R101" s="92">
        <f t="shared" si="121"/>
        <v>6</v>
      </c>
      <c r="S101" s="92">
        <f t="shared" si="121"/>
        <v>7</v>
      </c>
      <c r="T101" s="92">
        <f t="shared" si="121"/>
        <v>8</v>
      </c>
      <c r="U101" s="92">
        <f t="shared" si="121"/>
        <v>9</v>
      </c>
      <c r="V101" s="92">
        <f t="shared" si="121"/>
        <v>10</v>
      </c>
      <c r="W101" s="92">
        <f t="shared" si="121"/>
        <v>11</v>
      </c>
      <c r="X101" s="92">
        <f t="shared" si="121"/>
        <v>12</v>
      </c>
      <c r="Y101" s="92">
        <f t="shared" si="121"/>
        <v>13</v>
      </c>
      <c r="Z101" s="92">
        <f t="shared" si="121"/>
        <v>14</v>
      </c>
      <c r="AA101" s="92">
        <f t="shared" si="121"/>
        <v>15</v>
      </c>
      <c r="AB101" s="92">
        <f t="shared" si="121"/>
        <v>16</v>
      </c>
      <c r="AC101" s="92">
        <f t="shared" si="121"/>
        <v>17</v>
      </c>
      <c r="AD101" s="92">
        <f t="shared" si="121"/>
        <v>18</v>
      </c>
      <c r="AE101" s="92">
        <f t="shared" si="121"/>
        <v>19</v>
      </c>
      <c r="AF101" s="92">
        <f t="shared" si="121"/>
        <v>20</v>
      </c>
    </row>
    <row r="102" spans="12:33">
      <c r="L102" s="92" t="s">
        <v>569</v>
      </c>
      <c r="M102" s="103" t="s">
        <v>429</v>
      </c>
      <c r="N102" s="103" t="str">
        <f xml:space="preserve"> IFERROR( T( INDEX( Ship!$A$132:$G$137, N101, 2 ) ), "None" )</f>
        <v/>
      </c>
      <c r="O102" s="103" t="str">
        <f xml:space="preserve"> IFERROR( T( INDEX( Ship!$A$132:$G$137, O101, 2 ) ), "None" )</f>
        <v/>
      </c>
      <c r="P102" s="103" t="str">
        <f xml:space="preserve"> IFERROR( T( INDEX( Ship!$A$132:$G$137, P101, 2 ) ), "None" )</f>
        <v/>
      </c>
      <c r="Q102" s="103" t="str">
        <f xml:space="preserve"> IFERROR( T( INDEX( Ship!$A$132:$G$137, Q101, 2 ) ), "None" )</f>
        <v/>
      </c>
      <c r="R102" s="103" t="str">
        <f xml:space="preserve"> IFERROR( T( INDEX( Ship!$A$132:$G$137, R101, 2 ) ), "None" )</f>
        <v/>
      </c>
      <c r="S102" s="103" t="str">
        <f xml:space="preserve"> IFERROR( T( INDEX( Ship!$A$132:$G$137, S101, 2 ) ), "None" )</f>
        <v>None</v>
      </c>
      <c r="T102" s="103" t="str">
        <f xml:space="preserve"> IFERROR( T( INDEX( Ship!$A$132:$G$137, T101, 2 ) ), "None" )</f>
        <v>None</v>
      </c>
      <c r="U102" s="103" t="str">
        <f xml:space="preserve"> IFERROR( T( INDEX( Ship!$A$132:$G$137, U101, 2 ) ), "None" )</f>
        <v>None</v>
      </c>
      <c r="V102" s="103" t="str">
        <f xml:space="preserve"> IFERROR( T( INDEX( Ship!$A$132:$G$137, V101, 2 ) ), "None" )</f>
        <v>None</v>
      </c>
      <c r="W102" s="103" t="str">
        <f xml:space="preserve"> IFERROR( T( INDEX( Ship!$A$132:$G$137, W101, 2 ) ), "None" )</f>
        <v>None</v>
      </c>
      <c r="X102" s="103" t="str">
        <f xml:space="preserve"> IFERROR( T( INDEX( Ship!$A$132:$G$137, X101, 2 ) ), "None" )</f>
        <v>None</v>
      </c>
      <c r="Y102" s="103" t="str">
        <f xml:space="preserve"> IFERROR( T( INDEX( Ship!$A$132:$G$137, Y101, 2 ) ), "None" )</f>
        <v>None</v>
      </c>
      <c r="Z102" s="103" t="str">
        <f xml:space="preserve"> IFERROR( T( INDEX( Ship!$A$132:$G$137, Z101, 2 ) ), "None" )</f>
        <v>None</v>
      </c>
      <c r="AA102" s="103" t="str">
        <f xml:space="preserve"> IFERROR( T( INDEX( Ship!$A$132:$G$137, AA101, 2 ) ), "None" )</f>
        <v>None</v>
      </c>
      <c r="AB102" s="103" t="str">
        <f xml:space="preserve"> IFERROR( T( INDEX( Ship!$A$132:$G$137, AB101, 2 ) ), "None" )</f>
        <v>None</v>
      </c>
      <c r="AC102" s="103" t="str">
        <f xml:space="preserve"> IFERROR( T( INDEX( Ship!$A$132:$G$137, AC101, 2 ) ), "None" )</f>
        <v>None</v>
      </c>
      <c r="AD102" s="103" t="str">
        <f xml:space="preserve"> IFERROR( T( INDEX( Ship!$A$132:$G$137, AD101, 2 ) ), "None" )</f>
        <v>None</v>
      </c>
      <c r="AE102" s="103" t="str">
        <f xml:space="preserve"> IFERROR( T( INDEX( Ship!$A$132:$G$137, AE101, 2 ) ), "None" )</f>
        <v>None</v>
      </c>
      <c r="AF102" s="103" t="str">
        <f xml:space="preserve"> IFERROR( T( INDEX( Ship!$A$132:$G$137, AF101, 2 ) ), "None" )</f>
        <v>None</v>
      </c>
      <c r="AG102" s="103"/>
    </row>
    <row r="103" spans="12:33">
      <c r="M103" s="104" t="str">
        <f xml:space="preserve"> IF( IFERROR( SEARCH( LOWER( LEFT( M102, 1 ) ), vowels ), 0 )&gt;0, "an", "a" )</f>
        <v>a</v>
      </c>
      <c r="N103" s="104" t="str">
        <f t="shared" ref="N103" si="122" xml:space="preserve"> IF( IFERROR( SEARCH( LOWER( LEFT( N102, 1 ) ), vowels ), 0 )&gt;0, "an", "a" )</f>
        <v>an</v>
      </c>
      <c r="O103" s="104" t="str">
        <f t="shared" ref="O103" si="123" xml:space="preserve"> IF( IFERROR( SEARCH( LOWER( LEFT( O102, 1 ) ), vowels ), 0 )&gt;0, "an", "a" )</f>
        <v>an</v>
      </c>
      <c r="P103" s="104" t="str">
        <f t="shared" ref="P103" si="124" xml:space="preserve"> IF( IFERROR( SEARCH( LOWER( LEFT( P102, 1 ) ), vowels ), 0 )&gt;0, "an", "a" )</f>
        <v>an</v>
      </c>
      <c r="Q103" s="104" t="str">
        <f t="shared" ref="Q103" si="125" xml:space="preserve"> IF( IFERROR( SEARCH( LOWER( LEFT( Q102, 1 ) ), vowels ), 0 )&gt;0, "an", "a" )</f>
        <v>an</v>
      </c>
      <c r="R103" s="104" t="str">
        <f t="shared" ref="R103" si="126" xml:space="preserve"> IF( IFERROR( SEARCH( LOWER( LEFT( R102, 1 ) ), vowels ), 0 )&gt;0, "an", "a" )</f>
        <v>an</v>
      </c>
      <c r="S103" s="104" t="str">
        <f t="shared" ref="S103" si="127" xml:space="preserve"> IF( IFERROR( SEARCH( LOWER( LEFT( S102, 1 ) ), vowels ), 0 )&gt;0, "an", "a" )</f>
        <v>a</v>
      </c>
      <c r="T103" s="104" t="str">
        <f t="shared" ref="T103" si="128" xml:space="preserve"> IF( IFERROR( SEARCH( LOWER( LEFT( T102, 1 ) ), vowels ), 0 )&gt;0, "an", "a" )</f>
        <v>a</v>
      </c>
      <c r="U103" s="104" t="str">
        <f t="shared" ref="U103" si="129" xml:space="preserve"> IF( IFERROR( SEARCH( LOWER( LEFT( U102, 1 ) ), vowels ), 0 )&gt;0, "an", "a" )</f>
        <v>a</v>
      </c>
      <c r="V103" s="104" t="str">
        <f t="shared" ref="V103" si="130" xml:space="preserve"> IF( IFERROR( SEARCH( LOWER( LEFT( V102, 1 ) ), vowels ), 0 )&gt;0, "an", "a" )</f>
        <v>a</v>
      </c>
      <c r="W103" s="104" t="str">
        <f t="shared" ref="W103" si="131" xml:space="preserve"> IF( IFERROR( SEARCH( LOWER( LEFT( W102, 1 ) ), vowels ), 0 )&gt;0, "an", "a" )</f>
        <v>a</v>
      </c>
      <c r="X103" s="104" t="str">
        <f t="shared" ref="X103" si="132" xml:space="preserve"> IF( IFERROR( SEARCH( LOWER( LEFT( X102, 1 ) ), vowels ), 0 )&gt;0, "an", "a" )</f>
        <v>a</v>
      </c>
      <c r="Y103" s="104" t="str">
        <f t="shared" ref="Y103" si="133" xml:space="preserve"> IF( IFERROR( SEARCH( LOWER( LEFT( Y102, 1 ) ), vowels ), 0 )&gt;0, "an", "a" )</f>
        <v>a</v>
      </c>
      <c r="Z103" s="104" t="str">
        <f t="shared" ref="Z103" si="134" xml:space="preserve"> IF( IFERROR( SEARCH( LOWER( LEFT( Z102, 1 ) ), vowels ), 0 )&gt;0, "an", "a" )</f>
        <v>a</v>
      </c>
      <c r="AA103" s="104" t="str">
        <f t="shared" ref="AA103" si="135" xml:space="preserve"> IF( IFERROR( SEARCH( LOWER( LEFT( AA102, 1 ) ), vowels ), 0 )&gt;0, "an", "a" )</f>
        <v>a</v>
      </c>
      <c r="AB103" s="104" t="str">
        <f t="shared" ref="AB103" si="136" xml:space="preserve"> IF( IFERROR( SEARCH( LOWER( LEFT( AB102, 1 ) ), vowels ), 0 )&gt;0, "an", "a" )</f>
        <v>a</v>
      </c>
      <c r="AC103" s="104" t="str">
        <f t="shared" ref="AC103" si="137" xml:space="preserve"> IF( IFERROR( SEARCH( LOWER( LEFT( AC102, 1 ) ), vowels ), 0 )&gt;0, "an", "a" )</f>
        <v>a</v>
      </c>
      <c r="AD103" s="104" t="str">
        <f t="shared" ref="AD103" si="138" xml:space="preserve"> IF( IFERROR( SEARCH( LOWER( LEFT( AD102, 1 ) ), vowels ), 0 )&gt;0, "an", "a" )</f>
        <v>a</v>
      </c>
      <c r="AE103" s="104" t="str">
        <f t="shared" ref="AE103" si="139" xml:space="preserve"> IF( IFERROR( SEARCH( LOWER( LEFT( AE102, 1 ) ), vowels ), 0 )&gt;0, "an", "a" )</f>
        <v>a</v>
      </c>
      <c r="AF103" s="104" t="str">
        <f t="shared" ref="AF103" si="140" xml:space="preserve"> IF( IFERROR( SEARCH( LOWER( LEFT( AF102, 1 ) ), vowels ), 0 )&gt;0, "an", "a" )</f>
        <v>a</v>
      </c>
      <c r="AG103" s="103"/>
    </row>
    <row r="104" spans="12:33">
      <c r="M104" s="104"/>
      <c r="N104" s="104" t="s">
        <v>886</v>
      </c>
      <c r="O104" s="104" t="s">
        <v>886</v>
      </c>
      <c r="P104" s="104" t="s">
        <v>886</v>
      </c>
      <c r="Q104" s="104" t="s">
        <v>886</v>
      </c>
      <c r="R104" s="104" t="s">
        <v>886</v>
      </c>
      <c r="S104" s="104" t="s">
        <v>886</v>
      </c>
      <c r="T104" s="104" t="s">
        <v>886</v>
      </c>
      <c r="U104" s="104" t="s">
        <v>886</v>
      </c>
      <c r="V104" s="104" t="s">
        <v>886</v>
      </c>
      <c r="W104" s="104" t="s">
        <v>886</v>
      </c>
      <c r="X104" s="104" t="s">
        <v>886</v>
      </c>
      <c r="Y104" s="104" t="s">
        <v>886</v>
      </c>
      <c r="Z104" s="104" t="s">
        <v>886</v>
      </c>
      <c r="AA104" s="104" t="s">
        <v>886</v>
      </c>
      <c r="AB104" s="104" t="s">
        <v>886</v>
      </c>
      <c r="AC104" s="104" t="s">
        <v>886</v>
      </c>
      <c r="AD104" s="104" t="s">
        <v>886</v>
      </c>
      <c r="AE104" s="104" t="s">
        <v>886</v>
      </c>
      <c r="AF104" s="104" t="s">
        <v>886</v>
      </c>
      <c r="AG104" s="103"/>
    </row>
    <row r="105" spans="12:33">
      <c r="M105" s="104"/>
      <c r="N105" s="105" t="str">
        <f xml:space="preserve"> IFERROR( T( INDEX( Ship!$A$132:$G$137, N101, 1 ) ), "None" )</f>
        <v>Hangar</v>
      </c>
      <c r="O105" s="105" t="str">
        <f xml:space="preserve"> IFERROR( T( INDEX( Ship!$A$132:$G$137, O101, 1 ) ), "None" )</f>
        <v>Docking Space</v>
      </c>
      <c r="P105" s="105" t="str">
        <f xml:space="preserve"> IFERROR( T( INDEX( Ship!$A$132:$G$137, P101, 1 ) ), "None" )</f>
        <v>Docking Clamp</v>
      </c>
      <c r="Q105" s="105" t="str">
        <f xml:space="preserve"> IFERROR( T( INDEX( Ship!$A$132:$G$137, Q101, 1 ) ), "None" )</f>
        <v>Docking Clamp</v>
      </c>
      <c r="R105" s="105" t="str">
        <f xml:space="preserve"> IFERROR( T( INDEX( Ship!$A$132:$G$137, R101, 1 ) ), "None" )</f>
        <v>UNREP</v>
      </c>
      <c r="S105" s="105" t="str">
        <f xml:space="preserve"> IFERROR( T( INDEX( Ship!$A$132:$G$137, S101, 1 ) ), "None" )</f>
        <v>None</v>
      </c>
      <c r="T105" s="105" t="str">
        <f xml:space="preserve"> IFERROR( T( INDEX( Ship!$A$132:$G$137, T101, 1 ) ), "None" )</f>
        <v>None</v>
      </c>
      <c r="U105" s="105" t="str">
        <f xml:space="preserve"> IFERROR( T( INDEX( Ship!$A$132:$G$137, U101, 1 ) ), "None" )</f>
        <v>None</v>
      </c>
      <c r="V105" s="105" t="str">
        <f xml:space="preserve"> IFERROR( T( INDEX( Ship!$A$132:$G$137, V101, 1 ) ), "None" )</f>
        <v>None</v>
      </c>
      <c r="W105" s="105" t="str">
        <f xml:space="preserve"> IFERROR( T( INDEX( Ship!$A$132:$G$137, W101, 1 ) ), "None" )</f>
        <v>None</v>
      </c>
      <c r="X105" s="105" t="str">
        <f xml:space="preserve"> IFERROR( T( INDEX( Ship!$A$132:$G$137, X101, 1 ) ), "None" )</f>
        <v>None</v>
      </c>
      <c r="Y105" s="105" t="str">
        <f xml:space="preserve"> IFERROR( T( INDEX( Ship!$A$132:$G$137, Y101, 1 ) ), "None" )</f>
        <v>None</v>
      </c>
      <c r="Z105" s="105" t="str">
        <f xml:space="preserve"> IFERROR( T( INDEX( Ship!$A$132:$G$137, Z101, 1 ) ), "None" )</f>
        <v>None</v>
      </c>
      <c r="AA105" s="105" t="str">
        <f xml:space="preserve"> IFERROR( T( INDEX( Ship!$A$132:$G$137, AA101, 1 ) ), "None" )</f>
        <v>None</v>
      </c>
      <c r="AB105" s="105" t="str">
        <f xml:space="preserve"> IFERROR( T( INDEX( Ship!$A$132:$G$137, AB101, 1 ) ), "None" )</f>
        <v>None</v>
      </c>
      <c r="AC105" s="105" t="str">
        <f xml:space="preserve"> IFERROR( T( INDEX( Ship!$A$132:$G$137, AC101, 1 ) ), "None" )</f>
        <v>None</v>
      </c>
      <c r="AD105" s="105" t="str">
        <f xml:space="preserve"> IFERROR( T( INDEX( Ship!$A$132:$G$137, AD101, 1 ) ), "None" )</f>
        <v>None</v>
      </c>
      <c r="AE105" s="105" t="str">
        <f xml:space="preserve"> IFERROR( T( INDEX( Ship!$A$132:$G$137, AE101, 1 ) ), "None" )</f>
        <v>None</v>
      </c>
      <c r="AF105" s="105" t="str">
        <f xml:space="preserve"> IFERROR( T( INDEX( Ship!$A$132:$G$137, AF101, 1 ) ), "None" )</f>
        <v>None</v>
      </c>
      <c r="AG105" s="103"/>
    </row>
    <row r="106" spans="12:33">
      <c r="M106" s="104"/>
      <c r="N106" s="104" t="str">
        <f t="shared" ref="N106" si="141" xml:space="preserve"> IF( IFERROR( SEARCH( LOWER( LEFT( N105, 1 ) ), vowels ), 0 )&gt;0, "an", "a" )</f>
        <v>a</v>
      </c>
      <c r="O106" s="104" t="str">
        <f t="shared" ref="O106" si="142" xml:space="preserve"> IF( IFERROR( SEARCH( LOWER( LEFT( O105, 1 ) ), vowels ), 0 )&gt;0, "an", "a" )</f>
        <v>a</v>
      </c>
      <c r="P106" s="104" t="str">
        <f t="shared" ref="P106" si="143" xml:space="preserve"> IF( IFERROR( SEARCH( LOWER( LEFT( P105, 1 ) ), vowels ), 0 )&gt;0, "an", "a" )</f>
        <v>a</v>
      </c>
      <c r="Q106" s="104" t="str">
        <f t="shared" ref="Q106" si="144" xml:space="preserve"> IF( IFERROR( SEARCH( LOWER( LEFT( Q105, 1 ) ), vowels ), 0 )&gt;0, "an", "a" )</f>
        <v>a</v>
      </c>
      <c r="R106" s="104" t="str">
        <f t="shared" ref="R106" si="145" xml:space="preserve"> IF( IFERROR( SEARCH( LOWER( LEFT( R105, 1 ) ), vowels ), 0 )&gt;0, "an", "a" )</f>
        <v>an</v>
      </c>
      <c r="S106" s="104" t="str">
        <f t="shared" ref="S106" si="146" xml:space="preserve"> IF( IFERROR( SEARCH( LOWER( LEFT( S105, 1 ) ), vowels ), 0 )&gt;0, "an", "a" )</f>
        <v>a</v>
      </c>
      <c r="T106" s="104" t="str">
        <f t="shared" ref="T106" si="147" xml:space="preserve"> IF( IFERROR( SEARCH( LOWER( LEFT( T105, 1 ) ), vowels ), 0 )&gt;0, "an", "a" )</f>
        <v>a</v>
      </c>
      <c r="U106" s="104" t="str">
        <f t="shared" ref="U106" si="148" xml:space="preserve"> IF( IFERROR( SEARCH( LOWER( LEFT( U105, 1 ) ), vowels ), 0 )&gt;0, "an", "a" )</f>
        <v>a</v>
      </c>
      <c r="V106" s="104" t="str">
        <f t="shared" ref="V106" si="149" xml:space="preserve"> IF( IFERROR( SEARCH( LOWER( LEFT( V105, 1 ) ), vowels ), 0 )&gt;0, "an", "a" )</f>
        <v>a</v>
      </c>
      <c r="W106" s="104" t="str">
        <f t="shared" ref="W106" si="150" xml:space="preserve"> IF( IFERROR( SEARCH( LOWER( LEFT( W105, 1 ) ), vowels ), 0 )&gt;0, "an", "a" )</f>
        <v>a</v>
      </c>
      <c r="X106" s="104" t="str">
        <f t="shared" ref="X106" si="151" xml:space="preserve"> IF( IFERROR( SEARCH( LOWER( LEFT( X105, 1 ) ), vowels ), 0 )&gt;0, "an", "a" )</f>
        <v>a</v>
      </c>
      <c r="Y106" s="104" t="str">
        <f t="shared" ref="Y106" si="152" xml:space="preserve"> IF( IFERROR( SEARCH( LOWER( LEFT( Y105, 1 ) ), vowels ), 0 )&gt;0, "an", "a" )</f>
        <v>a</v>
      </c>
      <c r="Z106" s="104" t="str">
        <f t="shared" ref="Z106" si="153" xml:space="preserve"> IF( IFERROR( SEARCH( LOWER( LEFT( Z105, 1 ) ), vowels ), 0 )&gt;0, "an", "a" )</f>
        <v>a</v>
      </c>
      <c r="AA106" s="104" t="str">
        <f t="shared" ref="AA106" si="154" xml:space="preserve"> IF( IFERROR( SEARCH( LOWER( LEFT( AA105, 1 ) ), vowels ), 0 )&gt;0, "an", "a" )</f>
        <v>a</v>
      </c>
      <c r="AB106" s="104" t="str">
        <f t="shared" ref="AB106" si="155" xml:space="preserve"> IF( IFERROR( SEARCH( LOWER( LEFT( AB105, 1 ) ), vowels ), 0 )&gt;0, "an", "a" )</f>
        <v>a</v>
      </c>
      <c r="AC106" s="104" t="str">
        <f t="shared" ref="AC106" si="156" xml:space="preserve"> IF( IFERROR( SEARCH( LOWER( LEFT( AC105, 1 ) ), vowels ), 0 )&gt;0, "an", "a" )</f>
        <v>a</v>
      </c>
      <c r="AD106" s="104" t="str">
        <f t="shared" ref="AD106" si="157" xml:space="preserve"> IF( IFERROR( SEARCH( LOWER( LEFT( AD105, 1 ) ), vowels ), 0 )&gt;0, "an", "a" )</f>
        <v>a</v>
      </c>
      <c r="AE106" s="104" t="str">
        <f t="shared" ref="AE106" si="158" xml:space="preserve"> IF( IFERROR( SEARCH( LOWER( LEFT( AE105, 1 ) ), vowels ), 0 )&gt;0, "an", "a" )</f>
        <v>a</v>
      </c>
      <c r="AF106" s="104" t="str">
        <f t="shared" ref="AF106" si="159" xml:space="preserve"> IF( IFERROR( SEARCH( LOWER( LEFT( AF105, 1 ) ), vowels ), 0 )&gt;0, "an", "a" )</f>
        <v>a</v>
      </c>
      <c r="AG106" s="103"/>
    </row>
    <row r="107" spans="12:33">
      <c r="M107" s="104"/>
      <c r="N107" s="104" t="s">
        <v>612</v>
      </c>
      <c r="O107" s="104" t="s">
        <v>612</v>
      </c>
      <c r="P107" s="104" t="s">
        <v>612</v>
      </c>
      <c r="Q107" s="104" t="s">
        <v>612</v>
      </c>
      <c r="R107" s="104" t="s">
        <v>612</v>
      </c>
      <c r="S107" s="104" t="s">
        <v>612</v>
      </c>
      <c r="T107" s="104" t="s">
        <v>612</v>
      </c>
      <c r="U107" s="104" t="s">
        <v>612</v>
      </c>
      <c r="V107" s="104" t="s">
        <v>612</v>
      </c>
      <c r="W107" s="104" t="s">
        <v>612</v>
      </c>
      <c r="X107" s="104" t="s">
        <v>612</v>
      </c>
      <c r="Y107" s="104" t="s">
        <v>612</v>
      </c>
      <c r="Z107" s="104" t="s">
        <v>612</v>
      </c>
      <c r="AA107" s="104" t="s">
        <v>612</v>
      </c>
      <c r="AB107" s="104" t="s">
        <v>612</v>
      </c>
      <c r="AC107" s="104" t="s">
        <v>612</v>
      </c>
      <c r="AD107" s="104" t="s">
        <v>612</v>
      </c>
      <c r="AE107" s="104" t="s">
        <v>612</v>
      </c>
      <c r="AF107" s="104" t="s">
        <v>612</v>
      </c>
      <c r="AG107" s="103"/>
    </row>
    <row r="108" spans="12:33">
      <c r="L108" s="92">
        <f>M108</f>
        <v>0</v>
      </c>
      <c r="M108" s="103">
        <f xml:space="preserve"> SUM( N108:AF108 )</f>
        <v>0</v>
      </c>
      <c r="N108" s="103">
        <f xml:space="preserve"> IFERROR( INDEX( Ship!$A$132:$G$137, N101, 7 ), 0 )</f>
        <v>0</v>
      </c>
      <c r="O108" s="103">
        <f xml:space="preserve"> IFERROR( INDEX( Ship!$A$132:$G$137, O101, 7 ), 0 )</f>
        <v>0</v>
      </c>
      <c r="P108" s="103">
        <f xml:space="preserve"> IFERROR( INDEX( Ship!$A$132:$G$137, P101, 7 ), 0 )</f>
        <v>0</v>
      </c>
      <c r="Q108" s="103">
        <f xml:space="preserve"> IFERROR( INDEX( Ship!$A$132:$G$137, Q101, 7 ), 0 )</f>
        <v>0</v>
      </c>
      <c r="R108" s="103">
        <f xml:space="preserve"> IF( R105&lt;&gt;Ship!$A$137, IFERROR( INDEX( Ship!$A$132:$G$137, R101, 7 ), 0 ), 0 )</f>
        <v>0</v>
      </c>
      <c r="S108" s="103">
        <f xml:space="preserve"> IFERROR( INDEX( Ship!$A$132:$G$137, S101, 7 ), 0 )</f>
        <v>0</v>
      </c>
      <c r="T108" s="103">
        <f xml:space="preserve"> IFERROR( INDEX( Ship!$A$132:$G$137, T101, 7 ), 0 )</f>
        <v>0</v>
      </c>
      <c r="U108" s="103">
        <f xml:space="preserve"> IFERROR( INDEX( Ship!$A$132:$G$137, U101, 7 ), 0 )</f>
        <v>0</v>
      </c>
      <c r="V108" s="103">
        <f xml:space="preserve"> IFERROR( INDEX( Ship!$A$132:$G$137, V101, 7 ), 0 )</f>
        <v>0</v>
      </c>
      <c r="W108" s="103">
        <f xml:space="preserve"> IFERROR( INDEX( Ship!$A$132:$G$137, W101, 7 ), 0 )</f>
        <v>0</v>
      </c>
      <c r="X108" s="103">
        <f xml:space="preserve"> IFERROR( INDEX( Ship!$A$132:$G$137, X101, 7 ), 0 )</f>
        <v>0</v>
      </c>
      <c r="Y108" s="103">
        <f xml:space="preserve"> IFERROR( INDEX( Ship!$A$132:$G$137, Y101, 7 ), 0 )</f>
        <v>0</v>
      </c>
      <c r="Z108" s="103">
        <f xml:space="preserve"> IFERROR( INDEX( Ship!$A$132:$G$137, Z101, 7 ), 0 )</f>
        <v>0</v>
      </c>
      <c r="AA108" s="103">
        <f xml:space="preserve"> IFERROR( INDEX( Ship!$A$132:$G$137, AA101, 7 ), 0 )</f>
        <v>0</v>
      </c>
      <c r="AB108" s="103">
        <f xml:space="preserve"> IFERROR( INDEX( Ship!$A$132:$G$137, AB101, 7 ), 0 )</f>
        <v>0</v>
      </c>
      <c r="AC108" s="103">
        <f xml:space="preserve"> IFERROR( INDEX( Ship!$A$132:$G$137, AC101, 7 ), 0 )</f>
        <v>0</v>
      </c>
      <c r="AD108" s="103">
        <f xml:space="preserve"> IFERROR( INDEX( Ship!$A$132:$G$137, AD101, 7 ), 0 )</f>
        <v>0</v>
      </c>
      <c r="AE108" s="103">
        <f xml:space="preserve"> IFERROR( INDEX( Ship!$A$132:$G$137, AE101, 7 ), 0 )</f>
        <v>0</v>
      </c>
      <c r="AF108" s="103">
        <f xml:space="preserve"> IFERROR( INDEX( Ship!$A$132:$G$137, AF101, 7 ), 0 )</f>
        <v>0</v>
      </c>
      <c r="AG108" s="103"/>
    </row>
    <row r="109" spans="12:33">
      <c r="M109" s="104" t="str">
        <f xml:space="preserve"> IF( M108=0, "no", IF( M108=1, M103, IF( M108&lt;=12, VLOOKUP( M108, Tables!$B$2:$D$36, 3 ), M108 ) ) )</f>
        <v>no</v>
      </c>
      <c r="N109" s="104" t="str">
        <f xml:space="preserve"> IF( N108=0, "no", IF( N108=1, N103, IF( N108&lt;=12, VLOOKUP( N108, Tables!$B$2:$D$36, 3 ), N108 ) ) )</f>
        <v>no</v>
      </c>
      <c r="O109" s="104" t="str">
        <f xml:space="preserve"> IF( O108=0, "no", IF( O108=1, O103, IF( O108&lt;=12, VLOOKUP( O108, Tables!$B$2:$D$36, 3 ), O108 ) ) )</f>
        <v>no</v>
      </c>
      <c r="P109" s="104" t="str">
        <f xml:space="preserve"> IF( P108=0, "no", IF( P108=1, P103, IF( P108&lt;=12, VLOOKUP( P108, Tables!$B$2:$D$36, 3 ), P108 ) ) )</f>
        <v>no</v>
      </c>
      <c r="Q109" s="104" t="str">
        <f xml:space="preserve"> IF( Q108=0, "no", IF( Q108=1, Q103, IF( Q108&lt;=12, VLOOKUP( Q108, Tables!$B$2:$D$36, 3 ), Q108 ) ) )</f>
        <v>no</v>
      </c>
      <c r="R109" s="104" t="str">
        <f xml:space="preserve"> IF( R108=0, "no", IF( R108=1, R103, IF( R108&lt;=12, VLOOKUP( R108, Tables!$B$2:$D$36, 3 ), R108 ) ) )</f>
        <v>no</v>
      </c>
      <c r="S109" s="104" t="str">
        <f xml:space="preserve"> IF( S108=0, "no", IF( S108=1, S103, IF( S108&lt;=12, VLOOKUP( S108, Tables!$B$2:$D$36, 3 ), S108 ) ) )</f>
        <v>no</v>
      </c>
      <c r="T109" s="104" t="str">
        <f xml:space="preserve"> IF( T108=0, "no", IF( T108=1, T103, IF( T108&lt;=12, VLOOKUP( T108, Tables!$B$2:$D$36, 3 ), T108 ) ) )</f>
        <v>no</v>
      </c>
      <c r="U109" s="104" t="str">
        <f xml:space="preserve"> IF( U108=0, "no", IF( U108=1, U103, IF( U108&lt;=12, VLOOKUP( U108, Tables!$B$2:$D$36, 3 ), U108 ) ) )</f>
        <v>no</v>
      </c>
      <c r="V109" s="104" t="str">
        <f xml:space="preserve"> IF( V108=0, "no", IF( V108=1, V103, IF( V108&lt;=12, VLOOKUP( V108, Tables!$B$2:$D$36, 3 ), V108 ) ) )</f>
        <v>no</v>
      </c>
      <c r="W109" s="104" t="str">
        <f xml:space="preserve"> IF( W108=0, "no", IF( W108=1, W103, IF( W108&lt;=12, VLOOKUP( W108, Tables!$B$2:$D$36, 3 ), W108 ) ) )</f>
        <v>no</v>
      </c>
      <c r="X109" s="104" t="str">
        <f xml:space="preserve"> IF( X108=0, "no", IF( X108=1, X103, IF( X108&lt;=12, VLOOKUP( X108, Tables!$B$2:$D$36, 3 ), X108 ) ) )</f>
        <v>no</v>
      </c>
      <c r="Y109" s="104" t="str">
        <f xml:space="preserve"> IF( Y108=0, "no", IF( Y108=1, Y103, IF( Y108&lt;=12, VLOOKUP( Y108, Tables!$B$2:$D$36, 3 ), Y108 ) ) )</f>
        <v>no</v>
      </c>
      <c r="Z109" s="104" t="str">
        <f xml:space="preserve"> IF( Z108=0, "no", IF( Z108=1, Z103, IF( Z108&lt;=12, VLOOKUP( Z108, Tables!$B$2:$D$36, 3 ), Z108 ) ) )</f>
        <v>no</v>
      </c>
      <c r="AA109" s="104" t="str">
        <f xml:space="preserve"> IF( AA108=0, "no", IF( AA108=1, AA103, IF( AA108&lt;=12, VLOOKUP( AA108, Tables!$B$2:$D$36, 3 ), AA108 ) ) )</f>
        <v>no</v>
      </c>
      <c r="AB109" s="104" t="str">
        <f xml:space="preserve"> IF( AB108=0, "no", IF( AB108=1, AB103, IF( AB108&lt;=12, VLOOKUP( AB108, Tables!$B$2:$D$36, 3 ), AB108 ) ) )</f>
        <v>no</v>
      </c>
      <c r="AC109" s="104" t="str">
        <f xml:space="preserve"> IF( AC108=0, "no", IF( AC108=1, AC103, IF( AC108&lt;=12, VLOOKUP( AC108, Tables!$B$2:$D$36, 3 ), AC108 ) ) )</f>
        <v>no</v>
      </c>
      <c r="AD109" s="104" t="str">
        <f xml:space="preserve"> IF( AD108=0, "no", IF( AD108=1, AD103, IF( AD108&lt;=12, VLOOKUP( AD108, Tables!$B$2:$D$36, 3 ), AD108 ) ) )</f>
        <v>no</v>
      </c>
      <c r="AE109" s="104" t="str">
        <f xml:space="preserve"> IF( AE108=0, "no", IF( AE108=1, AE103, IF( AE108&lt;=12, VLOOKUP( AE108, Tables!$B$2:$D$36, 3 ), AE108 ) ) )</f>
        <v>no</v>
      </c>
      <c r="AF109" s="104" t="str">
        <f xml:space="preserve"> IF( AF108=0, "no", IF( AF108=1, AF103, IF( AF108&lt;=12, VLOOKUP( AF108, Tables!$B$2:$D$36, 3 ), AF108 ) ) )</f>
        <v>no</v>
      </c>
      <c r="AG109" s="103"/>
    </row>
    <row r="110" spans="12:33">
      <c r="M110" s="104" t="str">
        <f xml:space="preserve"> IF( M108&lt;&gt;1, T(M104), "" )</f>
        <v/>
      </c>
      <c r="N110" s="104" t="str">
        <f t="shared" ref="N110:AF110" si="160" xml:space="preserve"> IF( N108&lt;&gt;1, T(N104), "" )</f>
        <v>s</v>
      </c>
      <c r="O110" s="104" t="str">
        <f t="shared" si="160"/>
        <v>s</v>
      </c>
      <c r="P110" s="104" t="str">
        <f t="shared" si="160"/>
        <v>s</v>
      </c>
      <c r="Q110" s="104" t="str">
        <f t="shared" si="160"/>
        <v>s</v>
      </c>
      <c r="R110" s="104" t="str">
        <f t="shared" si="160"/>
        <v>s</v>
      </c>
      <c r="S110" s="104" t="str">
        <f t="shared" si="160"/>
        <v>s</v>
      </c>
      <c r="T110" s="104" t="str">
        <f t="shared" si="160"/>
        <v>s</v>
      </c>
      <c r="U110" s="104" t="str">
        <f t="shared" si="160"/>
        <v>s</v>
      </c>
      <c r="V110" s="104" t="str">
        <f t="shared" si="160"/>
        <v>s</v>
      </c>
      <c r="W110" s="104" t="str">
        <f t="shared" si="160"/>
        <v>s</v>
      </c>
      <c r="X110" s="104" t="str">
        <f t="shared" si="160"/>
        <v>s</v>
      </c>
      <c r="Y110" s="104" t="str">
        <f t="shared" si="160"/>
        <v>s</v>
      </c>
      <c r="Z110" s="104" t="str">
        <f t="shared" si="160"/>
        <v>s</v>
      </c>
      <c r="AA110" s="104" t="str">
        <f t="shared" si="160"/>
        <v>s</v>
      </c>
      <c r="AB110" s="104" t="str">
        <f t="shared" si="160"/>
        <v>s</v>
      </c>
      <c r="AC110" s="104" t="str">
        <f t="shared" si="160"/>
        <v>s</v>
      </c>
      <c r="AD110" s="104" t="str">
        <f t="shared" si="160"/>
        <v>s</v>
      </c>
      <c r="AE110" s="104" t="str">
        <f t="shared" si="160"/>
        <v>s</v>
      </c>
      <c r="AF110" s="104" t="str">
        <f t="shared" si="160"/>
        <v>s</v>
      </c>
      <c r="AG110" s="103"/>
    </row>
    <row r="111" spans="12:33">
      <c r="M111" s="103" t="str">
        <f xml:space="preserve"> CONCATENATE( M109 &amp; " " &amp; M102 &amp; M110 )</f>
        <v>no carried craft</v>
      </c>
      <c r="N111" s="103" t="str">
        <f xml:space="preserve"> CONCATENATE( N109 &amp; " " &amp; N102 &amp; N110 )</f>
        <v>no s</v>
      </c>
      <c r="O111" s="103" t="str">
        <f t="shared" ref="O111:AF111" si="161" xml:space="preserve"> CONCATENATE( O109 &amp; " " &amp; O102 &amp; O110 )</f>
        <v>no s</v>
      </c>
      <c r="P111" s="103" t="str">
        <f t="shared" si="161"/>
        <v>no s</v>
      </c>
      <c r="Q111" s="103" t="str">
        <f t="shared" si="161"/>
        <v>no s</v>
      </c>
      <c r="R111" s="103" t="str">
        <f t="shared" si="161"/>
        <v>no s</v>
      </c>
      <c r="S111" s="103" t="str">
        <f t="shared" si="161"/>
        <v>no Nones</v>
      </c>
      <c r="T111" s="103" t="str">
        <f t="shared" si="161"/>
        <v>no Nones</v>
      </c>
      <c r="U111" s="103" t="str">
        <f t="shared" si="161"/>
        <v>no Nones</v>
      </c>
      <c r="V111" s="103" t="str">
        <f t="shared" si="161"/>
        <v>no Nones</v>
      </c>
      <c r="W111" s="103" t="str">
        <f t="shared" si="161"/>
        <v>no Nones</v>
      </c>
      <c r="X111" s="103" t="str">
        <f t="shared" si="161"/>
        <v>no Nones</v>
      </c>
      <c r="Y111" s="103" t="str">
        <f t="shared" si="161"/>
        <v>no Nones</v>
      </c>
      <c r="Z111" s="103" t="str">
        <f t="shared" si="161"/>
        <v>no Nones</v>
      </c>
      <c r="AA111" s="103" t="str">
        <f t="shared" si="161"/>
        <v>no Nones</v>
      </c>
      <c r="AB111" s="103" t="str">
        <f t="shared" si="161"/>
        <v>no Nones</v>
      </c>
      <c r="AC111" s="103" t="str">
        <f t="shared" si="161"/>
        <v>no Nones</v>
      </c>
      <c r="AD111" s="103" t="str">
        <f t="shared" si="161"/>
        <v>no Nones</v>
      </c>
      <c r="AE111" s="103" t="str">
        <f t="shared" si="161"/>
        <v>no Nones</v>
      </c>
      <c r="AF111" s="103" t="str">
        <f t="shared" si="161"/>
        <v>no Nones</v>
      </c>
      <c r="AG111" s="103"/>
    </row>
    <row r="112" spans="12:33">
      <c r="M112" s="103"/>
      <c r="N112" s="104" t="str">
        <f xml:space="preserve"> IF( N108=0, "no", IF( N108=1, N109, "" ) )</f>
        <v>no</v>
      </c>
      <c r="O112" s="104" t="str">
        <f t="shared" ref="O112:AF112" si="162" xml:space="preserve"> IF( O108=0, "no", IF( O108=1, O109, "" ) )</f>
        <v>no</v>
      </c>
      <c r="P112" s="104" t="str">
        <f t="shared" si="162"/>
        <v>no</v>
      </c>
      <c r="Q112" s="104" t="str">
        <f t="shared" si="162"/>
        <v>no</v>
      </c>
      <c r="R112" s="104" t="str">
        <f t="shared" si="162"/>
        <v>no</v>
      </c>
      <c r="S112" s="104" t="str">
        <f t="shared" si="162"/>
        <v>no</v>
      </c>
      <c r="T112" s="104" t="str">
        <f t="shared" si="162"/>
        <v>no</v>
      </c>
      <c r="U112" s="104" t="str">
        <f t="shared" si="162"/>
        <v>no</v>
      </c>
      <c r="V112" s="104" t="str">
        <f t="shared" si="162"/>
        <v>no</v>
      </c>
      <c r="W112" s="104" t="str">
        <f t="shared" si="162"/>
        <v>no</v>
      </c>
      <c r="X112" s="104" t="str">
        <f t="shared" si="162"/>
        <v>no</v>
      </c>
      <c r="Y112" s="104" t="str">
        <f t="shared" si="162"/>
        <v>no</v>
      </c>
      <c r="Z112" s="104" t="str">
        <f t="shared" si="162"/>
        <v>no</v>
      </c>
      <c r="AA112" s="104" t="str">
        <f t="shared" si="162"/>
        <v>no</v>
      </c>
      <c r="AB112" s="104" t="str">
        <f t="shared" si="162"/>
        <v>no</v>
      </c>
      <c r="AC112" s="104" t="str">
        <f t="shared" si="162"/>
        <v>no</v>
      </c>
      <c r="AD112" s="104" t="str">
        <f t="shared" si="162"/>
        <v>no</v>
      </c>
      <c r="AE112" s="104" t="str">
        <f t="shared" si="162"/>
        <v>no</v>
      </c>
      <c r="AF112" s="104" t="str">
        <f t="shared" si="162"/>
        <v>no</v>
      </c>
      <c r="AG112" s="103"/>
    </row>
    <row r="113" spans="12:33">
      <c r="M113" s="103"/>
      <c r="N113" s="104" t="str">
        <f xml:space="preserve"> IF( N108&lt;&gt;1, T(N104), "" )</f>
        <v>s</v>
      </c>
      <c r="O113" s="104" t="str">
        <f t="shared" ref="O113:AF113" si="163" xml:space="preserve"> IF( O108&lt;&gt;1, T(O104), "" )</f>
        <v>s</v>
      </c>
      <c r="P113" s="104" t="str">
        <f t="shared" si="163"/>
        <v>s</v>
      </c>
      <c r="Q113" s="104" t="str">
        <f t="shared" si="163"/>
        <v>s</v>
      </c>
      <c r="R113" s="104" t="str">
        <f t="shared" si="163"/>
        <v>s</v>
      </c>
      <c r="S113" s="104" t="str">
        <f t="shared" si="163"/>
        <v>s</v>
      </c>
      <c r="T113" s="104" t="str">
        <f t="shared" si="163"/>
        <v>s</v>
      </c>
      <c r="U113" s="104" t="str">
        <f t="shared" si="163"/>
        <v>s</v>
      </c>
      <c r="V113" s="104" t="str">
        <f t="shared" si="163"/>
        <v>s</v>
      </c>
      <c r="W113" s="104" t="str">
        <f t="shared" si="163"/>
        <v>s</v>
      </c>
      <c r="X113" s="104" t="str">
        <f t="shared" si="163"/>
        <v>s</v>
      </c>
      <c r="Y113" s="104" t="str">
        <f t="shared" si="163"/>
        <v>s</v>
      </c>
      <c r="Z113" s="104" t="str">
        <f t="shared" si="163"/>
        <v>s</v>
      </c>
      <c r="AA113" s="104" t="str">
        <f t="shared" si="163"/>
        <v>s</v>
      </c>
      <c r="AB113" s="104" t="str">
        <f t="shared" si="163"/>
        <v>s</v>
      </c>
      <c r="AC113" s="104" t="str">
        <f t="shared" si="163"/>
        <v>s</v>
      </c>
      <c r="AD113" s="104" t="str">
        <f t="shared" si="163"/>
        <v>s</v>
      </c>
      <c r="AE113" s="104" t="str">
        <f t="shared" si="163"/>
        <v>s</v>
      </c>
      <c r="AF113" s="104" t="str">
        <f t="shared" si="163"/>
        <v>s</v>
      </c>
      <c r="AG113" s="103"/>
    </row>
    <row r="114" spans="12:33">
      <c r="M114" s="103"/>
      <c r="N114" s="103" t="str">
        <f xml:space="preserve"> CONCATENATE( N112 &amp; IF(LEN(N112)&gt;0," ","") &amp; N105 &amp; N113 )</f>
        <v>no Hangars</v>
      </c>
      <c r="O114" s="103" t="str">
        <f t="shared" ref="O114:AF114" si="164" xml:space="preserve"> CONCATENATE( O112 &amp; IF(LEN(O112)&gt;0," ","") &amp; O105 &amp; O113 )</f>
        <v>no Docking Spaces</v>
      </c>
      <c r="P114" s="103" t="str">
        <f t="shared" si="164"/>
        <v>no Docking Clamps</v>
      </c>
      <c r="Q114" s="103" t="str">
        <f t="shared" si="164"/>
        <v>no Docking Clamps</v>
      </c>
      <c r="R114" s="103" t="str">
        <f t="shared" si="164"/>
        <v>no UNREPs</v>
      </c>
      <c r="S114" s="103" t="str">
        <f t="shared" si="164"/>
        <v>no Nones</v>
      </c>
      <c r="T114" s="103" t="str">
        <f t="shared" si="164"/>
        <v>no Nones</v>
      </c>
      <c r="U114" s="103" t="str">
        <f t="shared" si="164"/>
        <v>no Nones</v>
      </c>
      <c r="V114" s="103" t="str">
        <f t="shared" si="164"/>
        <v>no Nones</v>
      </c>
      <c r="W114" s="103" t="str">
        <f t="shared" si="164"/>
        <v>no Nones</v>
      </c>
      <c r="X114" s="103" t="str">
        <f t="shared" si="164"/>
        <v>no Nones</v>
      </c>
      <c r="Y114" s="103" t="str">
        <f t="shared" si="164"/>
        <v>no Nones</v>
      </c>
      <c r="Z114" s="103" t="str">
        <f t="shared" si="164"/>
        <v>no Nones</v>
      </c>
      <c r="AA114" s="103" t="str">
        <f t="shared" si="164"/>
        <v>no Nones</v>
      </c>
      <c r="AB114" s="103" t="str">
        <f t="shared" si="164"/>
        <v>no Nones</v>
      </c>
      <c r="AC114" s="103" t="str">
        <f t="shared" si="164"/>
        <v>no Nones</v>
      </c>
      <c r="AD114" s="103" t="str">
        <f t="shared" si="164"/>
        <v>no Nones</v>
      </c>
      <c r="AE114" s="103" t="str">
        <f t="shared" si="164"/>
        <v>no Nones</v>
      </c>
      <c r="AF114" s="103" t="str">
        <f t="shared" si="164"/>
        <v>no Nones</v>
      </c>
      <c r="AG114" s="103"/>
    </row>
    <row r="115" spans="12:33">
      <c r="M115" s="103"/>
      <c r="N115" s="103" t="str">
        <f xml:space="preserve"> IF( AND( SUM( N108:$AF108 )&gt;0, SUM(O108:$AF108)=0, SUM($M108:M108)&gt;$M108 ), " and ", " " )</f>
        <v xml:space="preserve"> </v>
      </c>
      <c r="O115" s="103" t="str">
        <f xml:space="preserve"> IF( AND( SUM( O108:$AF108 )&gt;0, SUM(P108:$AF108)=0, SUM($M108:N108)&gt;$M108 ), " and ", " " )</f>
        <v xml:space="preserve"> </v>
      </c>
      <c r="P115" s="103" t="str">
        <f xml:space="preserve"> IF( AND( SUM( P108:$AF108 )&gt;0, SUM(Q108:$AF108)=0, SUM($M108:O108)&gt;$M108 ), " and ", " " )</f>
        <v xml:space="preserve"> </v>
      </c>
      <c r="Q115" s="103" t="str">
        <f xml:space="preserve"> IF( AND( SUM( Q108:$AF108 )&gt;0, SUM(R108:$AF108)=0, SUM($M108:P108)&gt;$M108 ), " and ", " " )</f>
        <v xml:space="preserve"> </v>
      </c>
      <c r="R115" s="103" t="str">
        <f xml:space="preserve"> IF( AND( SUM( R108:$AF108 )&gt;0, SUM(S108:$AF108)=0, SUM($M108:Q108)&gt;$M108 ), " and ", " " )</f>
        <v xml:space="preserve"> </v>
      </c>
      <c r="S115" s="103" t="str">
        <f xml:space="preserve"> IF( AND( SUM( S108:$AF108 )&gt;0, SUM(T108:$AF108)=0, SUM($M108:R108)&gt;$M108 ), " and ", " " )</f>
        <v xml:space="preserve"> </v>
      </c>
      <c r="T115" s="103" t="str">
        <f xml:space="preserve"> IF( AND( SUM( T108:$AF108 )&gt;0, SUM(U108:$AF108)=0, SUM($M108:S108)&gt;$M108 ), " and ", " " )</f>
        <v xml:space="preserve"> </v>
      </c>
      <c r="U115" s="103" t="str">
        <f xml:space="preserve"> IF( AND( SUM( U108:$AF108 )&gt;0, SUM(V108:$AF108)=0, SUM($M108:T108)&gt;$M108 ), " and ", " " )</f>
        <v xml:space="preserve"> </v>
      </c>
      <c r="V115" s="103" t="str">
        <f xml:space="preserve"> IF( AND( SUM( V108:$AF108 )&gt;0, SUM(W108:$AF108)=0, SUM($M108:U108)&gt;$M108 ), " and ", " " )</f>
        <v xml:space="preserve"> </v>
      </c>
      <c r="W115" s="103" t="str">
        <f xml:space="preserve"> IF( AND( SUM( W108:$AF108 )&gt;0, SUM(X108:$AF108)=0, SUM($M108:V108)&gt;$M108 ), " and ", " " )</f>
        <v xml:space="preserve"> </v>
      </c>
      <c r="X115" s="103" t="str">
        <f xml:space="preserve"> IF( AND( SUM( X108:$AF108 )&gt;0, SUM(Y108:$AF108)=0, SUM($M108:W108)&gt;$M108 ), " and ", " " )</f>
        <v xml:space="preserve"> </v>
      </c>
      <c r="Y115" s="103" t="str">
        <f xml:space="preserve"> IF( AND( SUM( Y108:$AF108 )&gt;0, SUM(Z108:$AF108)=0, SUM($M108:X108)&gt;$M108 ), " and ", " " )</f>
        <v xml:space="preserve"> </v>
      </c>
      <c r="Z115" s="103" t="str">
        <f xml:space="preserve"> IF( AND( SUM( Z108:$AF108 )&gt;0, SUM(AA108:$AF108)=0, SUM($M108:Y108)&gt;$M108 ), " and ", " " )</f>
        <v xml:space="preserve"> </v>
      </c>
      <c r="AA115" s="103" t="str">
        <f xml:space="preserve"> IF( AND( SUM( AA108:$AF108 )&gt;0, SUM(AB108:$AF108)=0, SUM($M108:Z108)&gt;$M108 ), " and ", " " )</f>
        <v xml:space="preserve"> </v>
      </c>
      <c r="AB115" s="103" t="str">
        <f xml:space="preserve"> IF( AND( SUM( AB108:$AF108 )&gt;0, SUM(AC108:$AF108)=0, SUM($M108:AA108)&gt;$M108 ), " and ", " " )</f>
        <v xml:space="preserve"> </v>
      </c>
      <c r="AC115" s="103" t="str">
        <f xml:space="preserve"> IF( AND( SUM( AC108:$AF108 )&gt;0, SUM(AD108:$AF108)=0, SUM($M108:AB108)&gt;$M108 ), " and ", " " )</f>
        <v xml:space="preserve"> </v>
      </c>
      <c r="AD115" s="103" t="str">
        <f xml:space="preserve"> IF( AND( SUM( AD108:$AF108 )&gt;0, SUM(AE108:$AF108)=0, SUM($M108:AC108)&gt;$M108 ), " and ", " " )</f>
        <v xml:space="preserve"> </v>
      </c>
      <c r="AE115" s="103" t="str">
        <f xml:space="preserve"> IF( AND( SUM( AE108:$AF108 )&gt;0, SUM(AF108:$AF108)=0, SUM($M108:AD108)&gt;$M108 ), " and ", " " )</f>
        <v xml:space="preserve"> </v>
      </c>
      <c r="AF115" s="103" t="str">
        <f xml:space="preserve"> IF( AND( SUM( AF108:$AF108 )&gt;0, SUM($AF108:AG108)=0, SUM($M108:AE108)&gt;$M108 ), " and ", " " )</f>
        <v xml:space="preserve"> </v>
      </c>
      <c r="AG115" s="103"/>
    </row>
    <row r="116" spans="12:33">
      <c r="M116" s="103"/>
      <c r="N116" s="103" t="str">
        <f xml:space="preserve"> IF(  AND( SUM( $M108:M108 )&gt;$M111, COUNTIF( $N108:$AF108, "&gt;0" )&gt;2),  ",",  ""  )</f>
        <v/>
      </c>
      <c r="O116" s="103" t="str">
        <f xml:space="preserve"> IF(  AND( SUM( $M108:N108 )&gt;$M111, COUNTIF( $N108:$AF108, "&gt;0" )&gt;2),  ",",  ""  )</f>
        <v/>
      </c>
      <c r="P116" s="103" t="str">
        <f xml:space="preserve"> IF(  AND( SUM( $M108:O108 )&gt;$M111, COUNTIF( $N108:$AF108, "&gt;0" )&gt;2),  ",",  ""  )</f>
        <v/>
      </c>
      <c r="Q116" s="103" t="str">
        <f xml:space="preserve"> IF(  AND( SUM( $M108:P108 )&gt;$M111, COUNTIF( $N108:$AF108, "&gt;0" )&gt;2),  ",",  ""  )</f>
        <v/>
      </c>
      <c r="R116" s="103" t="str">
        <f xml:space="preserve"> IF(  AND( SUM( $M108:Q108 )&gt;$M111, COUNTIF( $N108:$AF108, "&gt;0" )&gt;2),  ",",  ""  )</f>
        <v/>
      </c>
      <c r="S116" s="103" t="str">
        <f xml:space="preserve"> IF(  AND( SUM( $M108:R108 )&gt;$M111, COUNTIF( $N108:$AF108, "&gt;0" )&gt;2),  ",",  ""  )</f>
        <v/>
      </c>
      <c r="T116" s="103" t="str">
        <f xml:space="preserve"> IF(  AND( SUM( $M108:S108 )&gt;$M111, COUNTIF( $N108:$AF108, "&gt;0" )&gt;2),  ",",  ""  )</f>
        <v/>
      </c>
      <c r="U116" s="103" t="str">
        <f xml:space="preserve"> IF(  AND( SUM( $M108:T108 )&gt;$M111, COUNTIF( $N108:$AF108, "&gt;0" )&gt;2),  ",",  ""  )</f>
        <v/>
      </c>
      <c r="V116" s="103" t="str">
        <f xml:space="preserve"> IF(  AND( SUM( $M108:U108 )&gt;$M111, COUNTIF( $N108:$AF108, "&gt;0" )&gt;2),  ",",  ""  )</f>
        <v/>
      </c>
      <c r="W116" s="103" t="str">
        <f xml:space="preserve"> IF(  AND( SUM( $M108:V108 )&gt;$M111, COUNTIF( $N108:$AF108, "&gt;0" )&gt;2),  ",",  ""  )</f>
        <v/>
      </c>
      <c r="X116" s="103" t="str">
        <f xml:space="preserve"> IF(  AND( SUM( $M108:W108 )&gt;$M111, COUNTIF( $N108:$AF108, "&gt;0" )&gt;2),  ",",  ""  )</f>
        <v/>
      </c>
      <c r="Y116" s="103" t="str">
        <f xml:space="preserve"> IF(  AND( SUM( $M108:X108 )&gt;$M111, COUNTIF( $N108:$AF108, "&gt;0" )&gt;2),  ",",  ""  )</f>
        <v/>
      </c>
      <c r="Z116" s="103" t="str">
        <f xml:space="preserve"> IF(  AND( SUM( $M108:Y108 )&gt;$M111, COUNTIF( $N108:$AF108, "&gt;0" )&gt;2),  ",",  ""  )</f>
        <v/>
      </c>
      <c r="AA116" s="103" t="str">
        <f xml:space="preserve"> IF(  AND( SUM( $M108:Z108 )&gt;$M111, COUNTIF( $N108:$AF108, "&gt;0" )&gt;2),  ",",  ""  )</f>
        <v/>
      </c>
      <c r="AB116" s="103" t="str">
        <f xml:space="preserve"> IF(  AND( SUM( $M108:AA108 )&gt;$M111, COUNTIF( $N108:$AF108, "&gt;0" )&gt;2),  ",",  ""  )</f>
        <v/>
      </c>
      <c r="AC116" s="103" t="str">
        <f xml:space="preserve"> IF(  AND( SUM( $M108:AB108 )&gt;$M111, COUNTIF( $N108:$AF108, "&gt;0" )&gt;2),  ",",  ""  )</f>
        <v/>
      </c>
      <c r="AD116" s="103" t="str">
        <f xml:space="preserve"> IF(  AND( SUM( $M108:AC108 )&gt;$M111, COUNTIF( $N108:$AF108, "&gt;0" )&gt;2),  ",",  ""  )</f>
        <v/>
      </c>
      <c r="AE116" s="103" t="str">
        <f xml:space="preserve"> IF(  AND( SUM( $M108:AD108 )&gt;$M111, COUNTIF( $N108:$AF108, "&gt;0" )&gt;2),  ",",  ""  )</f>
        <v/>
      </c>
      <c r="AF116" s="103" t="str">
        <f xml:space="preserve"> IF(  AND( SUM( $M108:AE108 )&gt;$M111, COUNTIF( $N108:$AF108, "&gt;0" )&gt;2),  ",",  ""  )</f>
        <v/>
      </c>
      <c r="AG116" s="103"/>
    </row>
    <row r="117" spans="12:33">
      <c r="M117" s="103" t="str">
        <f xml:space="preserve"> CONCATENATE( M116 &amp; M115 &amp; M111 )</f>
        <v>no carried craft</v>
      </c>
      <c r="N117" s="103" t="str">
        <f xml:space="preserve"> CONCATENATE( N116 &amp; N115 &amp; N111 &amp; " in " &amp; N114  )</f>
        <v xml:space="preserve"> no s in no Hangars</v>
      </c>
      <c r="O117" s="103" t="str">
        <f t="shared" ref="O117:AF117" si="165" xml:space="preserve"> CONCATENATE( O116 &amp; O115 &amp; O111 &amp; " in " &amp; O114  )</f>
        <v xml:space="preserve"> no s in no Docking Spaces</v>
      </c>
      <c r="P117" s="103" t="str">
        <f t="shared" si="165"/>
        <v xml:space="preserve"> no s in no Docking Clamps</v>
      </c>
      <c r="Q117" s="103" t="str">
        <f t="shared" si="165"/>
        <v xml:space="preserve"> no s in no Docking Clamps</v>
      </c>
      <c r="R117" s="103" t="str">
        <f t="shared" si="165"/>
        <v xml:space="preserve"> no s in no UNREPs</v>
      </c>
      <c r="S117" s="103" t="str">
        <f t="shared" si="165"/>
        <v xml:space="preserve"> no Nones in no Nones</v>
      </c>
      <c r="T117" s="103" t="str">
        <f t="shared" si="165"/>
        <v xml:space="preserve"> no Nones in no Nones</v>
      </c>
      <c r="U117" s="103" t="str">
        <f t="shared" si="165"/>
        <v xml:space="preserve"> no Nones in no Nones</v>
      </c>
      <c r="V117" s="103" t="str">
        <f t="shared" si="165"/>
        <v xml:space="preserve"> no Nones in no Nones</v>
      </c>
      <c r="W117" s="103" t="str">
        <f t="shared" si="165"/>
        <v xml:space="preserve"> no Nones in no Nones</v>
      </c>
      <c r="X117" s="103" t="str">
        <f t="shared" si="165"/>
        <v xml:space="preserve"> no Nones in no Nones</v>
      </c>
      <c r="Y117" s="103" t="str">
        <f t="shared" si="165"/>
        <v xml:space="preserve"> no Nones in no Nones</v>
      </c>
      <c r="Z117" s="103" t="str">
        <f t="shared" si="165"/>
        <v xml:space="preserve"> no Nones in no Nones</v>
      </c>
      <c r="AA117" s="103" t="str">
        <f t="shared" si="165"/>
        <v xml:space="preserve"> no Nones in no Nones</v>
      </c>
      <c r="AB117" s="103" t="str">
        <f t="shared" si="165"/>
        <v xml:space="preserve"> no Nones in no Nones</v>
      </c>
      <c r="AC117" s="103" t="str">
        <f t="shared" si="165"/>
        <v xml:space="preserve"> no Nones in no Nones</v>
      </c>
      <c r="AD117" s="103" t="str">
        <f t="shared" si="165"/>
        <v xml:space="preserve"> no Nones in no Nones</v>
      </c>
      <c r="AE117" s="103" t="str">
        <f t="shared" si="165"/>
        <v xml:space="preserve"> no Nones in no Nones</v>
      </c>
      <c r="AF117" s="103" t="str">
        <f t="shared" si="165"/>
        <v xml:space="preserve"> no Nones in no Nones</v>
      </c>
      <c r="AG117" s="103"/>
    </row>
    <row r="118" spans="12:33">
      <c r="L118" s="92" t="str">
        <f>N118</f>
        <v>.</v>
      </c>
      <c r="M118" s="103"/>
      <c r="N118" s="103" t="str">
        <f xml:space="preserve"> CONCATENATE( IF( N108&gt;0, N117, "" ) &amp; O118 )</f>
        <v>.</v>
      </c>
      <c r="O118" s="103" t="str">
        <f t="shared" ref="O118:AF118" si="166" xml:space="preserve"> CONCATENATE( IF( O108&gt;0, O117, "" ) &amp; P118 )</f>
        <v>.</v>
      </c>
      <c r="P118" s="103" t="str">
        <f t="shared" si="166"/>
        <v>.</v>
      </c>
      <c r="Q118" s="103" t="str">
        <f t="shared" si="166"/>
        <v>.</v>
      </c>
      <c r="R118" s="103" t="str">
        <f t="shared" si="166"/>
        <v>.</v>
      </c>
      <c r="S118" s="103" t="str">
        <f t="shared" si="166"/>
        <v>.</v>
      </c>
      <c r="T118" s="103" t="str">
        <f t="shared" si="166"/>
        <v>.</v>
      </c>
      <c r="U118" s="103" t="str">
        <f t="shared" si="166"/>
        <v>.</v>
      </c>
      <c r="V118" s="103" t="str">
        <f t="shared" si="166"/>
        <v>.</v>
      </c>
      <c r="W118" s="103" t="str">
        <f t="shared" si="166"/>
        <v>.</v>
      </c>
      <c r="X118" s="103" t="str">
        <f t="shared" si="166"/>
        <v>.</v>
      </c>
      <c r="Y118" s="103" t="str">
        <f t="shared" si="166"/>
        <v>.</v>
      </c>
      <c r="Z118" s="103" t="str">
        <f t="shared" si="166"/>
        <v>.</v>
      </c>
      <c r="AA118" s="103" t="str">
        <f t="shared" si="166"/>
        <v>.</v>
      </c>
      <c r="AB118" s="103" t="str">
        <f t="shared" si="166"/>
        <v>.</v>
      </c>
      <c r="AC118" s="103" t="str">
        <f t="shared" si="166"/>
        <v>.</v>
      </c>
      <c r="AD118" s="103" t="str">
        <f t="shared" si="166"/>
        <v>.</v>
      </c>
      <c r="AE118" s="103" t="str">
        <f t="shared" si="166"/>
        <v>.</v>
      </c>
      <c r="AF118" s="103" t="str">
        <f t="shared" si="166"/>
        <v>.</v>
      </c>
      <c r="AG118" s="103" t="str">
        <f>"."</f>
        <v>.</v>
      </c>
    </row>
  </sheetData>
  <sheetCalcPr fullCalcOnLoad="1"/>
  <phoneticPr fontId="12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BN218"/>
  <sheetViews>
    <sheetView tabSelected="1" workbookViewId="0">
      <pane ySplit="2340" topLeftCell="A9"/>
      <selection activeCell="A6" sqref="A6"/>
      <selection pane="bottomLeft" activeCell="B201" sqref="B201"/>
    </sheetView>
  </sheetViews>
  <sheetFormatPr baseColWidth="10" defaultRowHeight="13"/>
  <cols>
    <col min="1" max="2" width="12.7109375" customWidth="1"/>
    <col min="3" max="3" width="4.5703125" customWidth="1"/>
    <col min="4" max="4" width="7.7109375" customWidth="1"/>
    <col min="5" max="5" width="4.7109375" customWidth="1"/>
    <col min="6" max="6" width="5.7109375" customWidth="1"/>
    <col min="7" max="7" width="6.7109375" customWidth="1"/>
    <col min="11" max="13" width="6.7109375" customWidth="1"/>
  </cols>
  <sheetData>
    <row r="1" spans="1:38">
      <c r="A1" s="68"/>
      <c r="E1" s="1" t="s">
        <v>286</v>
      </c>
      <c r="F1" s="1" t="s">
        <v>287</v>
      </c>
      <c r="G1" s="1" t="s">
        <v>288</v>
      </c>
      <c r="H1" s="1" t="s">
        <v>99</v>
      </c>
      <c r="I1" s="1" t="s">
        <v>16</v>
      </c>
      <c r="J1" s="1" t="s">
        <v>17</v>
      </c>
      <c r="K1" s="1" t="s">
        <v>107</v>
      </c>
      <c r="L1" s="1" t="s">
        <v>156</v>
      </c>
      <c r="M1" s="1" t="s">
        <v>285</v>
      </c>
    </row>
    <row r="2" spans="1:38">
      <c r="A2" s="68" t="s">
        <v>33</v>
      </c>
      <c r="B2" s="142">
        <f>Crew</f>
        <v>3</v>
      </c>
      <c r="C2" s="73"/>
      <c r="D2" s="73"/>
      <c r="E2" s="73">
        <f>D166</f>
        <v>0</v>
      </c>
      <c r="F2" s="73">
        <f>D167</f>
        <v>2</v>
      </c>
      <c r="G2" s="141">
        <f xml:space="preserve"> ROUNDDOWN( Hull/1000, 0 )</f>
        <v>0</v>
      </c>
      <c r="H2" s="73">
        <f>D171</f>
        <v>1</v>
      </c>
      <c r="I2" s="73">
        <f>D174</f>
        <v>0</v>
      </c>
      <c r="J2" s="73">
        <f>D178</f>
        <v>0</v>
      </c>
      <c r="K2" s="73">
        <f>D179</f>
        <v>0</v>
      </c>
      <c r="L2" s="73">
        <f>D180</f>
        <v>0</v>
      </c>
      <c r="M2" s="141"/>
    </row>
    <row r="3" spans="1:38">
      <c r="E3" s="1" t="s">
        <v>34</v>
      </c>
      <c r="F3" s="1" t="s">
        <v>175</v>
      </c>
      <c r="G3" s="1" t="s">
        <v>130</v>
      </c>
      <c r="H3" s="76" t="s">
        <v>98</v>
      </c>
      <c r="I3" s="1" t="s">
        <v>131</v>
      </c>
      <c r="J3" s="1" t="s">
        <v>278</v>
      </c>
    </row>
    <row r="4" spans="1:38">
      <c r="A4" s="68" t="s">
        <v>32</v>
      </c>
      <c r="B4" s="142">
        <f>SUM( E4:H4)</f>
        <v>0</v>
      </c>
      <c r="C4" s="73"/>
      <c r="D4" s="73"/>
      <c r="E4" s="141">
        <v>0</v>
      </c>
      <c r="F4" s="141">
        <v>0</v>
      </c>
      <c r="G4" s="141">
        <v>0</v>
      </c>
      <c r="H4" s="73"/>
      <c r="I4" s="141">
        <v>0</v>
      </c>
      <c r="J4" s="141">
        <v>0</v>
      </c>
      <c r="K4" s="73"/>
      <c r="L4" s="73"/>
      <c r="M4" s="73"/>
    </row>
    <row r="5" spans="1:38">
      <c r="B5" s="21"/>
      <c r="C5" s="80"/>
      <c r="D5" s="71"/>
      <c r="E5" s="44"/>
      <c r="F5" s="4"/>
      <c r="G5" s="71"/>
      <c r="H5" s="69"/>
      <c r="I5" s="69"/>
      <c r="J5" s="69"/>
      <c r="K5" s="71"/>
      <c r="L5" s="71"/>
      <c r="M5" s="106"/>
      <c r="N5" s="1"/>
      <c r="O5" s="1"/>
      <c r="P5" s="49"/>
      <c r="Q5" s="49"/>
      <c r="R5" s="49"/>
      <c r="S5" s="49"/>
      <c r="T5" s="49"/>
      <c r="U5" s="69"/>
      <c r="V5" s="69">
        <f t="shared" ref="V5" si="0" xml:space="preserve"> (C5&gt;0) * H5 * 10%</f>
        <v>0</v>
      </c>
      <c r="X5" s="109"/>
    </row>
    <row r="6" spans="1:38">
      <c r="A6" s="48">
        <v>12</v>
      </c>
      <c r="B6" s="45">
        <f>ROUNDDOWN( W6/X6 *(1+Y13)*(1+Y14),0)</f>
        <v>36</v>
      </c>
      <c r="C6" s="45"/>
      <c r="D6" s="1"/>
      <c r="E6" s="36"/>
      <c r="G6" s="23"/>
      <c r="H6" s="130"/>
      <c r="I6" s="131">
        <f>SUM(I10:I145)</f>
        <v>30.761666666666667</v>
      </c>
      <c r="K6" s="38"/>
      <c r="L6" s="72" t="s">
        <v>380</v>
      </c>
      <c r="M6" s="124">
        <f xml:space="preserve"> MAX( $AE$60:$AE$67 ) + MAX( $AG$60:$AG$67 )</f>
        <v>-2</v>
      </c>
      <c r="W6">
        <f xml:space="preserve"> Hull + SUM( N30:N33 )</f>
        <v>100</v>
      </c>
      <c r="X6">
        <f xml:space="preserve"> 2.5 - 0.5*(W6&gt;25000) - 0.5*(W6&gt;100000)</f>
        <v>2.5</v>
      </c>
    </row>
    <row r="7" spans="1:38">
      <c r="A7" s="152">
        <v>0</v>
      </c>
      <c r="B7" s="21"/>
      <c r="C7" s="112" t="s">
        <v>805</v>
      </c>
      <c r="D7" s="3"/>
      <c r="E7" s="2"/>
      <c r="G7" s="72" t="s">
        <v>209</v>
      </c>
      <c r="H7" s="133">
        <f xml:space="preserve"> -SUM( -Hull, H11:H86, H88:H145 )</f>
        <v>34.733333333333334</v>
      </c>
      <c r="I7" s="132">
        <f>SUM(I10:I145)*90% + ( SUM(Y132:Y137) )* 10%</f>
        <v>27.685500000000001</v>
      </c>
      <c r="J7" s="133">
        <f>J42-SUM(J10:J38,MAX(J39:J41),J43:J145)</f>
        <v>0</v>
      </c>
      <c r="K7" s="134">
        <f>K10-SUM(K13:K145)</f>
        <v>1</v>
      </c>
      <c r="L7" s="72" t="s">
        <v>208</v>
      </c>
      <c r="M7" s="124">
        <f xml:space="preserve"> MAX( $AE$60:$AF$67 ) + MAX( $AG$60:$AG$67 )</f>
        <v>-2</v>
      </c>
      <c r="V7" s="1" t="s">
        <v>872</v>
      </c>
    </row>
    <row r="8" spans="1:38">
      <c r="A8" s="67">
        <f>IF( Military&gt;0, 1, 0 )</f>
        <v>0</v>
      </c>
      <c r="B8" s="83">
        <v>0</v>
      </c>
      <c r="C8" s="68" t="s">
        <v>210</v>
      </c>
      <c r="D8" s="76" t="s">
        <v>389</v>
      </c>
      <c r="E8" s="76" t="s">
        <v>815</v>
      </c>
      <c r="F8" s="76" t="s">
        <v>523</v>
      </c>
      <c r="G8" s="76" t="s">
        <v>627</v>
      </c>
      <c r="H8" s="76" t="s">
        <v>487</v>
      </c>
      <c r="I8" s="76" t="s">
        <v>485</v>
      </c>
      <c r="J8" s="76" t="s">
        <v>486</v>
      </c>
      <c r="K8" s="76" t="str">
        <f>IF(Hull&lt;100,"FirmP","HardP")</f>
        <v>HardP</v>
      </c>
      <c r="L8" s="76" t="s">
        <v>628</v>
      </c>
      <c r="M8" s="126">
        <f xml:space="preserve"> MAX( M10:M64 ) - TL</f>
        <v>0</v>
      </c>
      <c r="U8" s="1" t="s">
        <v>197</v>
      </c>
      <c r="V8" s="1" t="s">
        <v>782</v>
      </c>
    </row>
    <row r="9" spans="1:38">
      <c r="B9" s="21"/>
      <c r="C9" s="80"/>
      <c r="D9" s="71"/>
      <c r="E9" s="44"/>
      <c r="F9" s="4"/>
      <c r="G9" s="71"/>
      <c r="H9" s="69"/>
      <c r="I9" s="69"/>
      <c r="J9" s="69"/>
      <c r="K9" s="71"/>
      <c r="L9" s="71"/>
      <c r="M9" s="106"/>
      <c r="N9" s="1"/>
      <c r="O9" s="1"/>
      <c r="P9" s="49"/>
      <c r="Q9" s="49"/>
      <c r="R9" s="49"/>
      <c r="S9" s="49"/>
      <c r="T9" s="49"/>
      <c r="U9" s="69"/>
      <c r="V9" s="69">
        <f t="shared" ref="V9" si="1" xml:space="preserve"> (C9&gt;0) * H9 * 10%</f>
        <v>0</v>
      </c>
      <c r="X9" s="109"/>
    </row>
    <row r="10" spans="1:38">
      <c r="A10" s="68" t="s">
        <v>217</v>
      </c>
      <c r="B10" t="str">
        <f>X13</f>
        <v>Partial</v>
      </c>
      <c r="D10" s="33">
        <v>100</v>
      </c>
      <c r="E10" s="41"/>
      <c r="F10" s="4"/>
      <c r="G10" s="3"/>
      <c r="H10" s="69">
        <f>MAX(10,D10)</f>
        <v>100</v>
      </c>
      <c r="I10" s="69"/>
      <c r="J10" s="69">
        <f>Hull*20%</f>
        <v>20</v>
      </c>
      <c r="K10" s="3">
        <f>ROUNDDOWN(Hull/100,0)+IF(Hull&lt;100,1+1*(Hull&gt;=35)+1*(Hull&gt;=70),0)</f>
        <v>1</v>
      </c>
      <c r="L10" s="3"/>
      <c r="M10" s="71"/>
      <c r="U10" s="69">
        <f>I10*50%*(J10&gt;0)</f>
        <v>0</v>
      </c>
      <c r="V10" s="69"/>
    </row>
    <row r="11" spans="1:38">
      <c r="A11" t="s">
        <v>711</v>
      </c>
      <c r="B11" s="21" t="str">
        <f xml:space="preserve"> IF( F11&gt;0, "Artificial Gravity", "No gravity" )</f>
        <v>Artificial Gravity</v>
      </c>
      <c r="D11" s="33">
        <v>1</v>
      </c>
      <c r="E11" s="44"/>
      <c r="F11" s="4">
        <f xml:space="preserve"> MAX( MIN( 1, N(D11) ), 1*(Hull&gt;=500000), 1*($F$13&gt;=6) )</f>
        <v>1</v>
      </c>
      <c r="G11" s="71"/>
      <c r="H11" s="69"/>
      <c r="I11" s="69"/>
      <c r="J11" s="69"/>
      <c r="K11" s="71"/>
      <c r="L11" s="71"/>
      <c r="M11" s="71"/>
      <c r="U11" s="69"/>
      <c r="V11" s="69"/>
    </row>
    <row r="12" spans="1:38">
      <c r="A12" t="s">
        <v>790</v>
      </c>
      <c r="B12" s="22" t="s">
        <v>251</v>
      </c>
      <c r="C12" s="80">
        <v>0</v>
      </c>
      <c r="D12" s="84">
        <v>0</v>
      </c>
      <c r="E12" s="44"/>
      <c r="F12" s="85">
        <f xml:space="preserve"> MIN( 1, N(D12), 1*($F$13&lt;6) )</f>
        <v>0</v>
      </c>
      <c r="G12" s="71"/>
      <c r="H12" s="69">
        <f xml:space="preserve"> F12 * Hull * 0.1</f>
        <v>0</v>
      </c>
      <c r="I12" s="69"/>
      <c r="J12" s="69"/>
      <c r="K12" s="71"/>
      <c r="L12" s="71"/>
      <c r="M12" s="71"/>
      <c r="U12" s="69"/>
      <c r="V12" s="69">
        <f t="shared" ref="V12" si="2" xml:space="preserve"> (C12&gt;0) * H12 * 10%</f>
        <v>0</v>
      </c>
      <c r="W12" s="69">
        <f xml:space="preserve"> IF( $B12=$Z12, 2, 1 )</f>
        <v>1</v>
      </c>
      <c r="X12" s="69"/>
      <c r="Y12" t="s">
        <v>615</v>
      </c>
      <c r="Z12" t="s">
        <v>865</v>
      </c>
    </row>
    <row r="13" spans="1:38">
      <c r="A13" t="s">
        <v>791</v>
      </c>
      <c r="B13" s="87" t="str">
        <f>W13</f>
        <v>Sphere</v>
      </c>
      <c r="D13" s="14">
        <f xml:space="preserve"> IF( Hull&lt;100, 2, IF( OR(Military&gt;0,D15&gt;4),  4,  3 ) )</f>
        <v>3</v>
      </c>
      <c r="E13" s="41"/>
      <c r="F13" s="4">
        <f xml:space="preserve"> VLOOKUP( $B13, Tables!$B$40:$I$46, 8, 0 )</f>
        <v>3</v>
      </c>
      <c r="G13" s="3"/>
      <c r="H13" s="69">
        <f>Hull*Z13</f>
        <v>0</v>
      </c>
      <c r="I13" s="69">
        <f xml:space="preserve"> IF( F13&lt;6, Hull*0.025*(1+1*(IFERROR(F11,1)))*(1+IFERROR(F12*W12,0))*(1+AA13), Hull*0.004 ) * (1+AA14)</f>
        <v>3</v>
      </c>
      <c r="J13" s="69"/>
      <c r="K13" s="3"/>
      <c r="L13" s="3"/>
      <c r="M13" s="71"/>
      <c r="U13" s="69">
        <f t="shared" ref="U13:U80" si="3">I13*50%*(J13&gt;0)</f>
        <v>0</v>
      </c>
      <c r="V13" s="69"/>
      <c r="W13" t="str">
        <f xml:space="preserve"> VLOOKUP( MAX( 1, MIN( $D13, 7 ) ), Tables!$A$40:$F$46, 2 )</f>
        <v>Sphere</v>
      </c>
      <c r="X13" t="str">
        <f>VLOOKUP($F$13,Tables!$A$40:$F$46,3)</f>
        <v>Partial</v>
      </c>
      <c r="Y13" s="8">
        <f>VLOOKUP($F$13,Tables!$A$40:$F$46,4)</f>
        <v>0</v>
      </c>
      <c r="Z13" s="8">
        <f>VLOOKUP($F$13,Tables!$A$40:$F$46,5)</f>
        <v>0</v>
      </c>
      <c r="AA13" s="8">
        <f>VLOOKUP($F$13,Tables!$A$40:$F$46,6)</f>
        <v>-0.2</v>
      </c>
      <c r="AB13">
        <f>VLOOKUP($F$13,Tables!$A$40:$G$46,7)</f>
        <v>0</v>
      </c>
      <c r="AC13" s="109">
        <f>VLOOKUP($F$13,Tables!$A$40:$H$46,8)</f>
        <v>1</v>
      </c>
    </row>
    <row r="14" spans="1:38">
      <c r="A14" t="s">
        <v>568</v>
      </c>
      <c r="B14" s="87" t="str">
        <f>W14</f>
        <v>Light</v>
      </c>
      <c r="D14" s="14">
        <f xml:space="preserve"> IF( OR(Military&gt;0,D15&gt;4),  2,  1 )</f>
        <v>1</v>
      </c>
      <c r="E14" s="41"/>
      <c r="F14" s="4">
        <f xml:space="preserve"> VLOOKUP( B14, Tables!B50:E52, 4, 0 )</f>
        <v>1</v>
      </c>
      <c r="G14" s="24"/>
      <c r="H14" s="69"/>
      <c r="I14" s="69"/>
      <c r="J14" s="69"/>
      <c r="K14" s="24"/>
      <c r="L14" s="24"/>
      <c r="M14" s="71"/>
      <c r="U14" s="69">
        <f t="shared" si="3"/>
        <v>0</v>
      </c>
      <c r="V14" s="69"/>
      <c r="W14" t="str">
        <f xml:space="preserve"> VLOOKUP( MAX( 1, MIN( $D14, 3 ) ), Tables!$A$50:$D$52, 2 )</f>
        <v>Light</v>
      </c>
      <c r="Y14">
        <f>VLOOKUP($F$14,Tables!$A$50:$D$52,3)</f>
        <v>-0.1</v>
      </c>
      <c r="Z14" s="26"/>
      <c r="AA14">
        <f>VLOOKUP($F$14,Tables!$A$50:$D$52,4)</f>
        <v>-0.25</v>
      </c>
      <c r="AE14" s="1" t="s">
        <v>399</v>
      </c>
      <c r="AF14" s="1" t="s">
        <v>3</v>
      </c>
    </row>
    <row r="15" spans="1:38">
      <c r="A15" t="s">
        <v>737</v>
      </c>
      <c r="B15" s="87" t="str">
        <f>AI15</f>
        <v>Crystaliron</v>
      </c>
      <c r="D15" s="14">
        <v>0</v>
      </c>
      <c r="E15" s="41"/>
      <c r="F15" s="115">
        <f xml:space="preserve"> MIN( N(D15)+AB13, M15+AC15, AB15 )</f>
        <v>0</v>
      </c>
      <c r="G15" s="3"/>
      <c r="H15" s="69">
        <f xml:space="preserve"> AddArmour*Hull*Z15*AC13</f>
        <v>0</v>
      </c>
      <c r="I15" s="69">
        <f xml:space="preserve"> AddArmour*I13*AA15</f>
        <v>0</v>
      </c>
      <c r="J15" s="69"/>
      <c r="K15" s="3"/>
      <c r="L15" s="3"/>
      <c r="M15" s="106">
        <f t="shared" ref="M15:M76" si="4">TL</f>
        <v>12</v>
      </c>
      <c r="U15" s="69">
        <f t="shared" si="3"/>
        <v>0</v>
      </c>
      <c r="V15" s="69"/>
      <c r="W15" t="str">
        <f>VLOOKUP(X15,Tables!$A$56:$E$59,2)</f>
        <v>Crystaliron</v>
      </c>
      <c r="X15">
        <f>M15</f>
        <v>12</v>
      </c>
      <c r="Z15" s="9">
        <f xml:space="preserve"> VLOOKUP( $B15, Tables!$B$56:$F$59, 2, 0 )</f>
        <v>1.2500000000000001E-2</v>
      </c>
      <c r="AA15" s="9">
        <f xml:space="preserve"> VLOOKUP( $B15, Tables!$B$56:$F$59, 3, 0 )</f>
        <v>0.05</v>
      </c>
      <c r="AB15">
        <f xml:space="preserve"> VLOOKUP( $B15, Tables!$B$56:$F$59, 4, 0 )</f>
        <v>13</v>
      </c>
      <c r="AC15">
        <f xml:space="preserve"> VLOOKUP( $B15, Tables!$B$56:$F$59, 5, 0 )</f>
        <v>0</v>
      </c>
      <c r="AE15">
        <f>AB13</f>
        <v>0</v>
      </c>
      <c r="AF15" s="108">
        <f xml:space="preserve"> MIN( D15, TL+AC15-AB13, AB15-AB13 )</f>
        <v>0</v>
      </c>
      <c r="AI15" t="str">
        <f xml:space="preserve"> VLOOKUP( MIN($X15,Tables!A59), Tables!$A$56:$E$59, 2 )</f>
        <v>Crystaliron</v>
      </c>
      <c r="AJ15" t="str">
        <f xml:space="preserve"> VLOOKUP( MIN($X15,Tables!A58), Tables!$A$56:$E$59, 2 )</f>
        <v>Crystaliron</v>
      </c>
      <c r="AK15" t="str">
        <f xml:space="preserve"> VLOOKUP( MIN($X15,Tables!A57), Tables!$A$56:$E$59, 2 )</f>
        <v>Crystaliron</v>
      </c>
      <c r="AL15" t="str">
        <f xml:space="preserve"> VLOOKUP( MIN($X15,Tables!A56), Tables!$A$56:$E$59, 2 )</f>
        <v>Titanium Steel</v>
      </c>
    </row>
    <row r="16" spans="1:38">
      <c r="A16" t="s">
        <v>748</v>
      </c>
      <c r="B16" s="21" t="str">
        <f xml:space="preserve"> IF( F16&gt;0, "Can scoop fuel", "" )</f>
        <v/>
      </c>
      <c r="D16" s="33">
        <f>1*AND(Military&gt;0, Hull&gt;=100)</f>
        <v>0</v>
      </c>
      <c r="E16" s="44"/>
      <c r="F16" s="4">
        <f xml:space="preserve"> IF( OR(D16&gt;0,AND(F13=2,Hull&gt;=100)), 1, 0 )</f>
        <v>0</v>
      </c>
      <c r="G16" s="71"/>
      <c r="H16" s="69"/>
      <c r="I16" s="69">
        <f xml:space="preserve"> F16 * 1 * ( 1 - 1* AND(F13=2, Hull&gt;=100) )</f>
        <v>0</v>
      </c>
      <c r="J16" s="69"/>
      <c r="K16" s="71"/>
      <c r="L16" s="71"/>
      <c r="M16" s="106"/>
      <c r="U16" s="69"/>
      <c r="V16" s="69"/>
      <c r="Z16" s="9"/>
      <c r="AA16" s="9"/>
    </row>
    <row r="17" spans="1:27">
      <c r="A17" t="s">
        <v>714</v>
      </c>
      <c r="B17" s="21"/>
      <c r="C17" s="80">
        <v>0</v>
      </c>
      <c r="D17" s="33">
        <f xml:space="preserve"> 1 * OR( Military&gt;0, SUM(BG95:BG118)&gt;0 )</f>
        <v>0</v>
      </c>
      <c r="E17" s="44"/>
      <c r="F17" s="4">
        <f xml:space="preserve"> 1*(D17&gt;0)*(M17&gt;=W17)</f>
        <v>0</v>
      </c>
      <c r="G17" s="71"/>
      <c r="H17" s="69">
        <f>F17*Hull*X17</f>
        <v>0</v>
      </c>
      <c r="I17" s="69">
        <f>F17*Hull*Y17</f>
        <v>0</v>
      </c>
      <c r="J17" s="69">
        <f xml:space="preserve"> F17*Hull*Z17</f>
        <v>0</v>
      </c>
      <c r="K17" s="3"/>
      <c r="L17" s="3"/>
      <c r="M17" s="106">
        <f t="shared" si="4"/>
        <v>12</v>
      </c>
      <c r="U17" s="69">
        <f t="shared" si="3"/>
        <v>0</v>
      </c>
      <c r="V17" s="69">
        <f t="shared" ref="V17:V76" si="5" xml:space="preserve"> (C17&gt;0) * H17 * 10%</f>
        <v>0</v>
      </c>
      <c r="W17">
        <f xml:space="preserve"> VLOOKUP( $A17, Tables!$A$63:$F$74, 2, 0 )</f>
        <v>7</v>
      </c>
      <c r="X17">
        <f xml:space="preserve"> VLOOKUP( $A17, Tables!$A$63:$F$74, 3, 0 )</f>
        <v>0</v>
      </c>
      <c r="Y17">
        <f xml:space="preserve"> VLOOKUP( $A17, Tables!$A$63:$F$74, 4, 0 )</f>
        <v>2.5000000000000001E-2</v>
      </c>
      <c r="Z17">
        <f xml:space="preserve"> VLOOKUP( $A17, Tables!$A$63:$F$74, 5, 0 )</f>
        <v>0</v>
      </c>
      <c r="AA17" t="str">
        <f xml:space="preserve"> VLOOKUP( $A17, Tables!$A$63:$F$74, 6, 0 )</f>
        <v>1000 rad</v>
      </c>
    </row>
    <row r="18" spans="1:27">
      <c r="A18" s="22" t="s">
        <v>671</v>
      </c>
      <c r="B18" s="21" t="str">
        <f xml:space="preserve"> IF( F18&gt;0, AA18, "" )</f>
        <v/>
      </c>
      <c r="C18" s="80"/>
      <c r="D18" s="14">
        <v>0</v>
      </c>
      <c r="E18" s="41"/>
      <c r="F18" s="4">
        <f xml:space="preserve"> 1*(D18&gt;0)*(M18&gt;=W18)</f>
        <v>0</v>
      </c>
      <c r="G18" s="3"/>
      <c r="H18" s="69">
        <f>F18*Hull*X18</f>
        <v>0</v>
      </c>
      <c r="I18" s="69">
        <f>F18*Hull*Y18</f>
        <v>0</v>
      </c>
      <c r="J18" s="69">
        <f xml:space="preserve"> F18*Hull*Z18</f>
        <v>0</v>
      </c>
      <c r="K18" s="3"/>
      <c r="L18" s="3"/>
      <c r="M18" s="106">
        <f t="shared" si="4"/>
        <v>12</v>
      </c>
      <c r="U18" s="69">
        <f t="shared" si="3"/>
        <v>0</v>
      </c>
      <c r="V18" s="69">
        <f t="shared" si="5"/>
        <v>0</v>
      </c>
      <c r="W18">
        <f xml:space="preserve"> VLOOKUP( $A18, Tables!$A$63:$F$74, 2, 0 )</f>
        <v>10</v>
      </c>
      <c r="X18">
        <f xml:space="preserve"> VLOOKUP( $A18, Tables!$A$63:$F$74, 3, 0 )</f>
        <v>0</v>
      </c>
      <c r="Y18">
        <f xml:space="preserve"> VLOOKUP( $A18, Tables!$A$63:$F$74, 4, 0 )</f>
        <v>0.1</v>
      </c>
      <c r="Z18">
        <f xml:space="preserve"> VLOOKUP( $A18, Tables!$A$63:$F$74, 5, 0 )</f>
        <v>0</v>
      </c>
      <c r="AA18" t="str">
        <f xml:space="preserve"> VLOOKUP( $A18, Tables!$A$63:$F$74, 6, 0 )</f>
        <v>Armour(Laser)+3</v>
      </c>
    </row>
    <row r="19" spans="1:27">
      <c r="A19" s="22" t="s">
        <v>254</v>
      </c>
      <c r="B19" s="21" t="str">
        <f xml:space="preserve"> IF( F19&gt;0, AA19, "" )</f>
        <v/>
      </c>
      <c r="C19" s="80">
        <v>0</v>
      </c>
      <c r="D19" s="33">
        <v>0</v>
      </c>
      <c r="E19" s="44"/>
      <c r="F19" s="4">
        <f t="shared" ref="F19:F20" si="6" xml:space="preserve"> 1*(D19&gt;0)*(M19&gt;=W19)</f>
        <v>0</v>
      </c>
      <c r="G19" s="71"/>
      <c r="H19" s="69">
        <f>F19*Hull*X19</f>
        <v>0</v>
      </c>
      <c r="I19" s="69">
        <f>F19*Hull*Y19</f>
        <v>0</v>
      </c>
      <c r="J19" s="69">
        <f xml:space="preserve"> F19*Hull*Z19</f>
        <v>0</v>
      </c>
      <c r="K19" s="71"/>
      <c r="L19" s="71"/>
      <c r="M19" s="106">
        <f t="shared" si="4"/>
        <v>12</v>
      </c>
      <c r="U19" s="69">
        <f t="shared" si="3"/>
        <v>0</v>
      </c>
      <c r="V19" s="69">
        <f t="shared" si="5"/>
        <v>0</v>
      </c>
      <c r="W19">
        <f xml:space="preserve"> VLOOKUP( $A19, Tables!$A$63:$F$74, 2, 0 )</f>
        <v>0</v>
      </c>
      <c r="X19">
        <f xml:space="preserve"> VLOOKUP( $A19, Tables!$A$63:$F$74, 3, 0 )</f>
        <v>0.05</v>
      </c>
      <c r="Y19">
        <f xml:space="preserve"> VLOOKUP( $A19, Tables!$A$63:$F$74, 4, 0 )</f>
        <v>5.0000000000000001E-3</v>
      </c>
      <c r="Z19">
        <f xml:space="preserve"> VLOOKUP( $A19, Tables!$A$63:$F$74, 5, 0 )</f>
        <v>0</v>
      </c>
      <c r="AA19" t="str">
        <f xml:space="preserve"> VLOOKUP( $A19, Tables!$A$63:$F$74, 6, 0 )</f>
        <v>Pilot DM+2</v>
      </c>
    </row>
    <row r="20" spans="1:27">
      <c r="A20" s="22" t="s">
        <v>807</v>
      </c>
      <c r="B20" s="21" t="str">
        <f xml:space="preserve"> IF( F20&gt;0, AA20, "" )</f>
        <v/>
      </c>
      <c r="C20" s="80"/>
      <c r="D20" s="33">
        <v>0</v>
      </c>
      <c r="E20" s="44"/>
      <c r="F20" s="4">
        <f t="shared" si="6"/>
        <v>0</v>
      </c>
      <c r="G20" s="71"/>
      <c r="H20" s="69">
        <f>F20*Hull*X20</f>
        <v>0</v>
      </c>
      <c r="I20" s="69">
        <f>F20*Hull*Y20</f>
        <v>0</v>
      </c>
      <c r="J20" s="69">
        <f xml:space="preserve"> F20*Hull*Z20</f>
        <v>0</v>
      </c>
      <c r="K20" s="71"/>
      <c r="L20" s="71"/>
      <c r="M20" s="106">
        <f t="shared" si="4"/>
        <v>12</v>
      </c>
      <c r="U20" s="69">
        <f t="shared" ref="U20" si="7">I20*50%*(J20&gt;0)</f>
        <v>0</v>
      </c>
      <c r="V20" s="69">
        <f t="shared" ref="V20" si="8" xml:space="preserve"> (C20&gt;0) * H20 * 10%</f>
        <v>0</v>
      </c>
      <c r="W20">
        <f xml:space="preserve"> VLOOKUP( $A20, Tables!$A$63:$F$74, 2, 0 )</f>
        <v>8</v>
      </c>
      <c r="X20">
        <f xml:space="preserve"> VLOOKUP( $A20, Tables!$A$63:$F$74, 3, 0 )</f>
        <v>0.02</v>
      </c>
      <c r="Y20">
        <f xml:space="preserve"> VLOOKUP( $A20, Tables!$A$63:$F$74, 4, 0 )</f>
        <v>0.04</v>
      </c>
      <c r="Z20">
        <f xml:space="preserve"> VLOOKUP( $A20, Tables!$A$63:$F$74, 5, 0 )</f>
        <v>0</v>
      </c>
      <c r="AA20" t="str">
        <f xml:space="preserve"> VLOOKUP( $A20, Tables!$A$63:$F$74, 6, 0 )</f>
        <v>Stealth DM-2</v>
      </c>
    </row>
    <row r="21" spans="1:27">
      <c r="A21" t="s">
        <v>340</v>
      </c>
      <c r="B21" s="21" t="str">
        <f>X21</f>
        <v>None</v>
      </c>
      <c r="C21" s="80"/>
      <c r="D21" s="14">
        <v>0</v>
      </c>
      <c r="E21" s="41"/>
      <c r="F21" s="4">
        <f>MIN(N(D21),W21)</f>
        <v>0</v>
      </c>
      <c r="G21" s="3"/>
      <c r="H21" s="69"/>
      <c r="I21" s="69">
        <f>Hull*Y21</f>
        <v>0</v>
      </c>
      <c r="J21" s="69"/>
      <c r="K21" s="3"/>
      <c r="L21" s="3"/>
      <c r="M21" s="106">
        <f t="shared" si="4"/>
        <v>12</v>
      </c>
      <c r="U21" s="69">
        <f t="shared" ref="U21:U36" si="9">I21*50%*(J21&gt;0)</f>
        <v>0</v>
      </c>
      <c r="V21" s="69">
        <f t="shared" ref="V21:V36" si="10" xml:space="preserve"> (C21&gt;0) * H21 * 10%</f>
        <v>0</v>
      </c>
      <c r="W21">
        <f>VLOOKUP(M21,Tables!A78:D80,2)</f>
        <v>2</v>
      </c>
      <c r="X21" t="str">
        <f>VLOOKUP($F$21,Tables!$B$78:$D$80,2)</f>
        <v>None</v>
      </c>
      <c r="Y21">
        <f>VLOOKUP($F$21,Tables!$B$78:$D$80,3)</f>
        <v>0</v>
      </c>
    </row>
    <row r="22" spans="1:27">
      <c r="A22" t="s">
        <v>433</v>
      </c>
      <c r="B22" s="21"/>
      <c r="C22" s="80"/>
      <c r="D22" s="33">
        <f xml:space="preserve"> 1*(Military&gt;0) * (Hull&gt;=100)</f>
        <v>0</v>
      </c>
      <c r="E22" s="41"/>
      <c r="F22" s="4"/>
      <c r="G22" s="3">
        <f>1*(D22&gt;0)</f>
        <v>0</v>
      </c>
      <c r="H22" s="69">
        <f>MAX(G22,G22*Hull*1%)</f>
        <v>0</v>
      </c>
      <c r="I22" s="69">
        <f>H22*0.2</f>
        <v>0</v>
      </c>
      <c r="J22" s="69"/>
      <c r="K22" s="3"/>
      <c r="L22" s="3"/>
      <c r="M22" s="106"/>
      <c r="U22" s="69">
        <f t="shared" si="9"/>
        <v>0</v>
      </c>
      <c r="V22" s="69">
        <f t="shared" si="10"/>
        <v>0</v>
      </c>
    </row>
    <row r="23" spans="1:27">
      <c r="B23" s="21"/>
      <c r="C23" s="80"/>
      <c r="D23" s="35"/>
      <c r="E23" s="44"/>
      <c r="F23" s="4"/>
      <c r="G23" s="35"/>
      <c r="H23" s="69"/>
      <c r="I23" s="69"/>
      <c r="J23" s="69"/>
      <c r="K23" s="35"/>
      <c r="L23" s="35"/>
      <c r="M23" s="106"/>
      <c r="U23" s="69">
        <f t="shared" si="9"/>
        <v>0</v>
      </c>
      <c r="V23" s="69">
        <f t="shared" si="10"/>
        <v>0</v>
      </c>
    </row>
    <row r="24" spans="1:27">
      <c r="A24" t="s">
        <v>548</v>
      </c>
      <c r="B24" s="21"/>
      <c r="C24" s="82">
        <v>0</v>
      </c>
      <c r="D24" s="71"/>
      <c r="E24" s="44"/>
      <c r="F24" s="81">
        <f xml:space="preserve"> 1 * (SUM(V10:V69)&gt;0)</f>
        <v>0</v>
      </c>
      <c r="G24" s="71"/>
      <c r="H24" s="69">
        <f xml:space="preserve"> SUM(V10:V144)</f>
        <v>0</v>
      </c>
      <c r="I24" s="69">
        <f>H24*0.2</f>
        <v>0</v>
      </c>
      <c r="J24" s="69"/>
      <c r="K24" s="71"/>
      <c r="L24" s="71"/>
      <c r="M24" s="106"/>
      <c r="U24" s="69">
        <f t="shared" si="9"/>
        <v>0</v>
      </c>
      <c r="V24" s="69"/>
    </row>
    <row r="25" spans="1:27">
      <c r="B25" s="21"/>
      <c r="C25" s="80"/>
      <c r="D25" s="71"/>
      <c r="E25" s="44"/>
      <c r="F25" s="4"/>
      <c r="G25" s="71"/>
      <c r="H25" s="69"/>
      <c r="I25" s="69"/>
      <c r="J25" s="69"/>
      <c r="K25" s="71"/>
      <c r="L25" s="71"/>
      <c r="M25" s="106"/>
      <c r="U25" s="69">
        <f t="shared" si="9"/>
        <v>0</v>
      </c>
      <c r="V25" s="69">
        <f t="shared" si="10"/>
        <v>0</v>
      </c>
    </row>
    <row r="26" spans="1:27">
      <c r="A26" t="s">
        <v>247</v>
      </c>
      <c r="B26" s="21"/>
      <c r="C26" s="80"/>
      <c r="D26" s="33">
        <f>1*(Military)*(Hull&gt;=1000)</f>
        <v>0</v>
      </c>
      <c r="E26" s="44"/>
      <c r="F26" s="4">
        <f>1*(D26&gt;0)</f>
        <v>0</v>
      </c>
      <c r="G26" s="35"/>
      <c r="H26" s="69"/>
      <c r="I26" s="69">
        <f>F26*SUM(U10:U23,U27:U144)*75%</f>
        <v>0</v>
      </c>
      <c r="J26" s="69"/>
      <c r="K26" s="35"/>
      <c r="L26" s="35"/>
      <c r="M26" s="106"/>
      <c r="U26" s="69">
        <f t="shared" si="9"/>
        <v>0</v>
      </c>
      <c r="V26" s="69">
        <f t="shared" si="10"/>
        <v>0</v>
      </c>
    </row>
    <row r="27" spans="1:27">
      <c r="B27" s="21"/>
      <c r="C27" s="80"/>
      <c r="D27" s="35"/>
      <c r="E27" s="44"/>
      <c r="F27" s="4"/>
      <c r="G27" s="35"/>
      <c r="H27" s="69"/>
      <c r="I27" s="69"/>
      <c r="J27" s="69"/>
      <c r="K27" s="35"/>
      <c r="L27" s="35"/>
      <c r="M27" s="106"/>
      <c r="U27" s="69">
        <f t="shared" si="9"/>
        <v>0</v>
      </c>
      <c r="V27" s="69">
        <f t="shared" si="10"/>
        <v>0</v>
      </c>
    </row>
    <row r="28" spans="1:27">
      <c r="A28" t="s">
        <v>871</v>
      </c>
      <c r="B28" s="116">
        <v>0</v>
      </c>
      <c r="C28" s="80">
        <v>0</v>
      </c>
      <c r="D28" s="42">
        <f xml:space="preserve"> 1*(B28&gt;0)</f>
        <v>0</v>
      </c>
      <c r="E28" s="44"/>
      <c r="F28" s="4"/>
      <c r="G28" s="71">
        <f>D28</f>
        <v>0</v>
      </c>
      <c r="H28" s="69">
        <f>G28*B28</f>
        <v>0</v>
      </c>
      <c r="I28" s="69">
        <f xml:space="preserve"> H28 / Hull * ( $I$13 + $I$15 )</f>
        <v>0</v>
      </c>
      <c r="J28" s="69"/>
      <c r="K28" s="71"/>
      <c r="L28" s="71"/>
      <c r="M28" s="106">
        <f t="shared" si="4"/>
        <v>12</v>
      </c>
      <c r="U28" s="69">
        <f t="shared" si="9"/>
        <v>0</v>
      </c>
      <c r="V28" s="69">
        <f t="shared" si="10"/>
        <v>0</v>
      </c>
      <c r="X28" s="46"/>
    </row>
    <row r="29" spans="1:27">
      <c r="B29" s="116">
        <v>0</v>
      </c>
      <c r="C29" s="80"/>
      <c r="D29" s="42">
        <f xml:space="preserve"> 1*(B29&gt;0)</f>
        <v>0</v>
      </c>
      <c r="E29" s="44"/>
      <c r="F29" s="4"/>
      <c r="G29" s="71">
        <f>D29</f>
        <v>0</v>
      </c>
      <c r="H29" s="69">
        <f>G29*B29</f>
        <v>0</v>
      </c>
      <c r="I29" s="69">
        <f xml:space="preserve"> H29 / Hull * ( $I$13 + $I$15 )</f>
        <v>0</v>
      </c>
      <c r="J29" s="69"/>
      <c r="K29" s="71"/>
      <c r="L29" s="71"/>
      <c r="M29" s="106">
        <f t="shared" si="4"/>
        <v>12</v>
      </c>
      <c r="U29" s="69">
        <f t="shared" si="9"/>
        <v>0</v>
      </c>
      <c r="V29" s="69">
        <f t="shared" si="10"/>
        <v>0</v>
      </c>
      <c r="X29" s="46"/>
    </row>
    <row r="30" spans="1:27">
      <c r="B30" s="21"/>
      <c r="C30" s="80"/>
      <c r="D30" s="71"/>
      <c r="E30" s="44"/>
      <c r="F30" s="4"/>
      <c r="G30" s="71"/>
      <c r="H30" s="69"/>
      <c r="I30" s="69"/>
      <c r="J30" s="69"/>
      <c r="K30" s="71"/>
      <c r="L30" s="71"/>
      <c r="M30" s="106"/>
      <c r="N30" t="s">
        <v>679</v>
      </c>
      <c r="U30" s="69">
        <f t="shared" si="9"/>
        <v>0</v>
      </c>
      <c r="V30" s="69">
        <f t="shared" si="10"/>
        <v>0</v>
      </c>
    </row>
    <row r="31" spans="1:27">
      <c r="A31" t="s">
        <v>591</v>
      </c>
      <c r="B31" s="116">
        <v>0</v>
      </c>
      <c r="C31" s="80"/>
      <c r="D31" s="42">
        <f xml:space="preserve"> 1*(B31&gt;0)</f>
        <v>0</v>
      </c>
      <c r="E31" s="44"/>
      <c r="F31" s="4"/>
      <c r="G31" s="71">
        <f>D31</f>
        <v>0</v>
      </c>
      <c r="H31" s="69"/>
      <c r="I31" s="69"/>
      <c r="J31" s="69"/>
      <c r="K31" s="71"/>
      <c r="L31" s="71"/>
      <c r="M31" s="106">
        <f t="shared" si="4"/>
        <v>12</v>
      </c>
      <c r="N31" s="79">
        <f>B31*D31</f>
        <v>0</v>
      </c>
      <c r="U31" s="69">
        <f t="shared" si="9"/>
        <v>0</v>
      </c>
      <c r="V31" s="69">
        <f t="shared" si="10"/>
        <v>0</v>
      </c>
    </row>
    <row r="32" spans="1:27">
      <c r="B32" s="116">
        <v>0</v>
      </c>
      <c r="C32" s="80"/>
      <c r="D32" s="42">
        <f xml:space="preserve"> 1*(B32&gt;0)</f>
        <v>0</v>
      </c>
      <c r="E32" s="44"/>
      <c r="F32" s="4"/>
      <c r="G32" s="71">
        <f>D32</f>
        <v>0</v>
      </c>
      <c r="H32" s="69"/>
      <c r="I32" s="69"/>
      <c r="J32" s="69"/>
      <c r="K32" s="71"/>
      <c r="L32" s="71"/>
      <c r="M32" s="106">
        <f t="shared" si="4"/>
        <v>12</v>
      </c>
      <c r="N32" s="79">
        <f>B32*D32</f>
        <v>0</v>
      </c>
      <c r="U32" s="69">
        <f t="shared" si="9"/>
        <v>0</v>
      </c>
      <c r="V32" s="69">
        <f t="shared" si="10"/>
        <v>0</v>
      </c>
    </row>
    <row r="33" spans="1:66">
      <c r="B33" s="21"/>
      <c r="C33" s="80"/>
      <c r="D33" s="71"/>
      <c r="E33" s="44"/>
      <c r="F33" s="4"/>
      <c r="G33" s="71"/>
      <c r="H33" s="69"/>
      <c r="I33" s="69"/>
      <c r="J33" s="69"/>
      <c r="K33" s="71"/>
      <c r="L33" s="71"/>
      <c r="M33" s="106"/>
      <c r="U33" s="69">
        <f t="shared" si="9"/>
        <v>0</v>
      </c>
      <c r="V33" s="69">
        <f t="shared" si="10"/>
        <v>0</v>
      </c>
    </row>
    <row r="34" spans="1:66">
      <c r="A34" t="s">
        <v>592</v>
      </c>
      <c r="B34" s="117">
        <f>(  SUM(N31:N33) ) * D34</f>
        <v>0</v>
      </c>
      <c r="C34" s="80"/>
      <c r="D34" s="33">
        <f>1*(SUM(N31:N33)&gt;0)</f>
        <v>0</v>
      </c>
      <c r="E34" s="44"/>
      <c r="F34" s="4"/>
      <c r="G34" s="71"/>
      <c r="H34" s="69"/>
      <c r="I34" s="69"/>
      <c r="J34" s="69"/>
      <c r="K34" s="71"/>
      <c r="L34" s="71"/>
      <c r="M34" s="106"/>
      <c r="U34" s="69">
        <f t="shared" si="9"/>
        <v>0</v>
      </c>
      <c r="V34" s="69">
        <f t="shared" si="10"/>
        <v>0</v>
      </c>
    </row>
    <row r="35" spans="1:66">
      <c r="A35" t="s">
        <v>521</v>
      </c>
      <c r="B35" s="117">
        <f>(  SUM(MAX(B88,B89),N135:N145) ) * D35</f>
        <v>0</v>
      </c>
      <c r="C35" s="80"/>
      <c r="D35" s="33">
        <f>1*(SUM(B88:B89,N135:N138)&gt;0)</f>
        <v>0</v>
      </c>
      <c r="E35" s="44"/>
      <c r="F35" s="4"/>
      <c r="G35" s="35"/>
      <c r="H35" s="69"/>
      <c r="I35" s="69"/>
      <c r="J35" s="69"/>
      <c r="K35" s="35"/>
      <c r="L35" s="35"/>
      <c r="M35" s="106"/>
      <c r="U35" s="69">
        <f t="shared" si="9"/>
        <v>0</v>
      </c>
      <c r="V35" s="69">
        <f t="shared" si="10"/>
        <v>0</v>
      </c>
    </row>
    <row r="36" spans="1:66">
      <c r="A36" t="s">
        <v>691</v>
      </c>
      <c r="B36" s="117">
        <f>DropTanks*D36</f>
        <v>0</v>
      </c>
      <c r="C36" s="80"/>
      <c r="D36" s="33">
        <f>1*(DropTanks&gt;0)*(IFERROR($E$47&lt;&gt;$AC$47,TRUE))</f>
        <v>0</v>
      </c>
      <c r="E36" s="44"/>
      <c r="F36" s="4"/>
      <c r="G36" s="35"/>
      <c r="H36" s="69"/>
      <c r="I36" s="69"/>
      <c r="J36" s="69"/>
      <c r="K36" s="35"/>
      <c r="L36" s="35"/>
      <c r="M36" s="106"/>
      <c r="U36" s="69">
        <f t="shared" si="9"/>
        <v>0</v>
      </c>
      <c r="V36" s="69">
        <f t="shared" si="10"/>
        <v>0</v>
      </c>
    </row>
    <row r="37" spans="1:66">
      <c r="A37" s="68" t="s">
        <v>61</v>
      </c>
      <c r="B37" s="117">
        <f>Hull+SUM( B34:B36 )</f>
        <v>100</v>
      </c>
      <c r="C37" s="80"/>
      <c r="D37" s="35"/>
      <c r="E37" s="44"/>
      <c r="F37" s="4"/>
      <c r="G37" s="35"/>
      <c r="H37" s="69"/>
      <c r="I37" s="69"/>
      <c r="J37" s="69"/>
      <c r="K37" s="35"/>
      <c r="L37" s="35"/>
      <c r="M37" s="106"/>
      <c r="P37" s="122" t="s">
        <v>313</v>
      </c>
      <c r="U37" s="69">
        <f t="shared" si="3"/>
        <v>0</v>
      </c>
      <c r="V37" s="69">
        <f t="shared" si="5"/>
        <v>0</v>
      </c>
    </row>
    <row r="38" spans="1:66">
      <c r="B38" s="21"/>
      <c r="C38" s="80"/>
      <c r="D38" s="35"/>
      <c r="E38" s="44"/>
      <c r="F38" s="4"/>
      <c r="G38" s="35"/>
      <c r="H38" s="69"/>
      <c r="I38" s="69"/>
      <c r="J38" s="69"/>
      <c r="K38" s="35"/>
      <c r="L38" s="35"/>
      <c r="M38" s="106"/>
      <c r="O38" t="s">
        <v>166</v>
      </c>
      <c r="P38" s="66" t="s">
        <v>182</v>
      </c>
      <c r="Q38" t="s">
        <v>224</v>
      </c>
      <c r="U38" s="69">
        <f t="shared" si="3"/>
        <v>0</v>
      </c>
      <c r="V38" s="69">
        <f t="shared" si="5"/>
        <v>0</v>
      </c>
      <c r="AC38" s="1" t="s">
        <v>281</v>
      </c>
      <c r="AF38" s="1" t="s">
        <v>808</v>
      </c>
      <c r="AI38" s="1" t="s">
        <v>167</v>
      </c>
      <c r="AJ38" s="1" t="s">
        <v>265</v>
      </c>
      <c r="AK38" s="1" t="s">
        <v>266</v>
      </c>
      <c r="AM38" s="1" t="s">
        <v>282</v>
      </c>
      <c r="AN38" s="1" t="s">
        <v>179</v>
      </c>
      <c r="AO38" s="1" t="s">
        <v>348</v>
      </c>
      <c r="AP38" s="1" t="s">
        <v>68</v>
      </c>
      <c r="AR38" t="s">
        <v>352</v>
      </c>
      <c r="AS38" t="s">
        <v>314</v>
      </c>
      <c r="AT38" s="1" t="s">
        <v>589</v>
      </c>
      <c r="AU38" s="1" t="s">
        <v>419</v>
      </c>
      <c r="AV38" s="1" t="s">
        <v>179</v>
      </c>
      <c r="AW38" s="1" t="s">
        <v>348</v>
      </c>
      <c r="AX38" s="1" t="s">
        <v>68</v>
      </c>
      <c r="AZ38" t="s">
        <v>355</v>
      </c>
      <c r="BA38" t="s">
        <v>314</v>
      </c>
      <c r="BB38" s="1" t="s">
        <v>589</v>
      </c>
      <c r="BC38" s="1" t="s">
        <v>419</v>
      </c>
      <c r="BD38" s="1" t="s">
        <v>179</v>
      </c>
      <c r="BE38" s="1" t="s">
        <v>348</v>
      </c>
      <c r="BF38" s="1" t="s">
        <v>68</v>
      </c>
      <c r="BH38" t="s">
        <v>165</v>
      </c>
      <c r="BI38" t="s">
        <v>314</v>
      </c>
      <c r="BJ38" s="1" t="s">
        <v>589</v>
      </c>
      <c r="BK38" s="1" t="s">
        <v>419</v>
      </c>
      <c r="BL38" s="1" t="s">
        <v>179</v>
      </c>
      <c r="BM38" s="1" t="s">
        <v>348</v>
      </c>
      <c r="BN38" s="1" t="s">
        <v>68</v>
      </c>
    </row>
    <row r="39" spans="1:66">
      <c r="A39" t="s">
        <v>136</v>
      </c>
      <c r="B39" s="21" t="str">
        <f>AM39</f>
        <v/>
      </c>
      <c r="C39" s="80">
        <v>0</v>
      </c>
      <c r="D39" s="14">
        <f>IF( AND( Station=0, Hull&gt;=100 ), 2, 0 )</f>
        <v>2</v>
      </c>
      <c r="E39" s="42">
        <f xml:space="preserve"> -0.1*(Military&lt;0)</f>
        <v>0</v>
      </c>
      <c r="F39" s="18">
        <f>MIN(N(D39),W39)</f>
        <v>2</v>
      </c>
      <c r="G39" s="3">
        <f>1*(D39&gt;0)</f>
        <v>1</v>
      </c>
      <c r="H39" s="69">
        <f>G39*MAX(  10*(F39&gt;0), IF( $K39=Tables!$A$84, Hull, DriveCapacity )*X39+5*(F39&gt;0)  )*( 1 + AD39 )*( 1 + AN39 )</f>
        <v>10</v>
      </c>
      <c r="I39" s="69">
        <f>H39*1.5*(1+AE39)</f>
        <v>15</v>
      </c>
      <c r="J39" s="69">
        <f>G39*F39*IF( $K39=Tables!$A$84, Hull, DriveCapacity )*10% * (1+AO39)</f>
        <v>20</v>
      </c>
      <c r="K39" s="33" t="s">
        <v>241</v>
      </c>
      <c r="L39" s="71">
        <f>H39/35</f>
        <v>0.2857142857142857</v>
      </c>
      <c r="M39" s="106">
        <f t="shared" si="4"/>
        <v>12</v>
      </c>
      <c r="N39" s="114" t="str">
        <f xml:space="preserve"> IF( AF39&lt;&gt;0, AB39, "" )</f>
        <v/>
      </c>
      <c r="O39" s="33" t="s">
        <v>41</v>
      </c>
      <c r="P39" s="33" t="s">
        <v>95</v>
      </c>
      <c r="Q39" s="33" t="s">
        <v>346</v>
      </c>
      <c r="U39" s="69">
        <f t="shared" si="3"/>
        <v>7.5</v>
      </c>
      <c r="V39" s="69">
        <f t="shared" si="5"/>
        <v>0</v>
      </c>
      <c r="W39">
        <f>VLOOKUP(M39-MAX(-2,E39)*(E39&lt;0),Tables!A109:C118,2)</f>
        <v>3</v>
      </c>
      <c r="X39" s="10">
        <f>VLOOKUP(F39,Tables!B109:D118,2)</f>
        <v>0.05</v>
      </c>
      <c r="Y39">
        <f>LOOKUP(F39,Tables!B109:B118,Tables!A109:A118)</f>
        <v>11</v>
      </c>
      <c r="AA39" s="43">
        <f xml:space="preserve"> IF( AC39&gt;0,-0.5, MIN( MAX( -2, IF(E39&lt;0,E39,0), M39-Y39 ), IF(E39&gt;=0,E39,9), 3 ) )</f>
        <v>0</v>
      </c>
      <c r="AB39" s="1" t="str">
        <f xml:space="preserve"> VLOOKUP(  IF(AC39&gt;0,-0.5,$AA39),  Tables!$A$508:$D$515,  2  )</f>
        <v>Standard</v>
      </c>
      <c r="AC39" s="29">
        <f xml:space="preserve"> 1 * AND( E39&lt;0, E39&gt;-1 )</f>
        <v>0</v>
      </c>
      <c r="AD39" s="30">
        <f>VLOOKUP($AA39,Tables!$A$508:$D$515,3)</f>
        <v>0</v>
      </c>
      <c r="AE39" s="30">
        <f>VLOOKUP($AA39,Tables!$A$508:$D$515,4)</f>
        <v>0</v>
      </c>
      <c r="AF39" s="123">
        <f>VLOOKUP($AA39,Tables!$A$508:$E$515,5)</f>
        <v>0</v>
      </c>
      <c r="AI39">
        <f xml:space="preserve"> 1*( ABS(AF39)&gt;=ABS(AT39) ) * (SIGN(AF39)=SIGN(AT39)) * (AT39&lt;&gt;0)</f>
        <v>0</v>
      </c>
      <c r="AJ39">
        <f xml:space="preserve"> MAX( 0, AF39 -  AT39*(AI39&gt;0) )</f>
        <v>0</v>
      </c>
      <c r="AK39">
        <f xml:space="preserve"> MAX( 0, -AF39 +  AT39*(AI39&gt;0) )</f>
        <v>0</v>
      </c>
      <c r="AM39" t="str">
        <f xml:space="preserve"> CONCATENATE(  IF(AF39&lt;&gt;0,CONCATENATE(AF39,":"),""),  IF(AC39,"Budget:",""),  IF(AI39&gt;0,AS39,""),  IF(AND(AI39&gt;0,AJ39&gt;0),",",""),  IF(AJ39&gt;1,AJ39,""),  IF(AJ39&gt;0,BA39,""),  IF(AK39&gt;1,AK39,""),  IF(AK39&gt;0,BI39,"")  )</f>
        <v/>
      </c>
      <c r="AN39">
        <f xml:space="preserve"> ($AI39&gt;0)*AV39 + IF( $BC39&gt;0, $AJ39, 1*($AJ39&lt;&gt;0) )*BD39 + IF( $BK39&gt;0, $AK39, 1*($AK39&lt;&gt;0) )*BL39</f>
        <v>0</v>
      </c>
      <c r="AO39">
        <f t="shared" ref="AO39:AP39" si="11" xml:space="preserve"> ($AI39&gt;0)*AW39 + IF( $BC39&gt;0, $AJ39, 1*($AJ39&lt;&gt;0) )*BE39 + IF( $BK39&gt;0, $AK39, 1*($AK39&lt;&gt;0) )*BM39</f>
        <v>0</v>
      </c>
      <c r="AP39">
        <f t="shared" si="11"/>
        <v>0</v>
      </c>
      <c r="AR39" s="71" t="str">
        <f>P39</f>
        <v/>
      </c>
      <c r="AS39" t="str">
        <f xml:space="preserve"> IF( AI39&gt;0, VLOOKUP( $AR39, Tables!$A$128:$J$141, 2, 0 ), "" )</f>
        <v/>
      </c>
      <c r="AT39">
        <f xml:space="preserve"> VLOOKUP( $AR39, Tables!$A$128:$J$141, 3, 0 )</f>
        <v>0</v>
      </c>
      <c r="AU39">
        <f xml:space="preserve"> VLOOKUP( $AR39, Tables!$A$128:$J$141, 4, 0 )</f>
        <v>1</v>
      </c>
      <c r="AV39">
        <f xml:space="preserve"> VLOOKUP( $AR39, Tables!$A$128:$J$141, 5, 0 )</f>
        <v>0</v>
      </c>
      <c r="AW39">
        <f xml:space="preserve"> VLOOKUP( $AR39, Tables!$A$128:$J$141, 6, 0 )</f>
        <v>0</v>
      </c>
      <c r="AX39">
        <f xml:space="preserve"> VLOOKUP( $AR39, Tables!$A$128:$J$141, 8, 0 )</f>
        <v>0</v>
      </c>
      <c r="AZ39" s="71" t="str">
        <f>O39</f>
        <v>Reduced Size</v>
      </c>
      <c r="BA39" t="str">
        <f xml:space="preserve"> VLOOKUP( $AZ39, Tables!$A$128:$J$141, 2, 0 )</f>
        <v>RedSiz</v>
      </c>
      <c r="BB39">
        <f xml:space="preserve"> VLOOKUP( $AZ39, Tables!$A$128:$J$141, 3, 0 )</f>
        <v>1</v>
      </c>
      <c r="BC39">
        <f xml:space="preserve"> VLOOKUP( $AZ39, Tables!$A$128:$J$141, 4, 0 )</f>
        <v>1</v>
      </c>
      <c r="BD39">
        <f xml:space="preserve"> VLOOKUP( $AZ39, Tables!$A$128:$J$141, 5, 0 )</f>
        <v>-0.1</v>
      </c>
      <c r="BE39">
        <f xml:space="preserve"> VLOOKUP( $AZ39, Tables!$A$128:$J$141, 6, 0 )</f>
        <v>0</v>
      </c>
      <c r="BF39">
        <f xml:space="preserve"> VLOOKUP( $AZ39, Tables!$A$128:$J$141, 8, 0 )</f>
        <v>0</v>
      </c>
      <c r="BH39" s="71" t="str">
        <f>Q39</f>
        <v>Energy Inefficient</v>
      </c>
      <c r="BI39" t="str">
        <f xml:space="preserve"> VLOOKUP( $BH39, Tables!$A$128:$J$141, 2, 0 )</f>
        <v>EneIne</v>
      </c>
      <c r="BJ39">
        <f xml:space="preserve"> VLOOKUP( $BH39, Tables!$A$128:$J$141, 3, 0 )</f>
        <v>-1</v>
      </c>
      <c r="BK39">
        <f xml:space="preserve"> VLOOKUP( $BH39, Tables!$A$128:$J$141, 4, 0 )</f>
        <v>1</v>
      </c>
      <c r="BL39">
        <f xml:space="preserve"> VLOOKUP( $BH39, Tables!$A$128:$J$141, 5, 0 )</f>
        <v>0</v>
      </c>
      <c r="BM39">
        <f xml:space="preserve"> VLOOKUP( $BH39, Tables!$A$128:$J$141, 6, 0 )</f>
        <v>0.3</v>
      </c>
      <c r="BN39">
        <f xml:space="preserve"> VLOOKUP( $BH39, Tables!$A$128:$J$141, 8, 0 )</f>
        <v>0</v>
      </c>
    </row>
    <row r="40" spans="1:66">
      <c r="A40" t="s">
        <v>792</v>
      </c>
      <c r="B40" s="21" t="str">
        <f t="shared" ref="B40:B42" si="12">AM40</f>
        <v/>
      </c>
      <c r="C40" s="80"/>
      <c r="D40" s="15">
        <f xml:space="preserve"> IF( Station&gt;0, 0, 2 )</f>
        <v>2</v>
      </c>
      <c r="E40" s="42">
        <f xml:space="preserve"> -0.1*(Military&lt;0)</f>
        <v>0</v>
      </c>
      <c r="F40" s="75">
        <f>MIN(N(D40),W40)</f>
        <v>2</v>
      </c>
      <c r="G40" s="71">
        <f xml:space="preserve"> 1*(F40&gt;=0)</f>
        <v>1</v>
      </c>
      <c r="H40" s="69">
        <f>G40*IF( $K40=Tables!$A$84, Hull, DriveCapacity )*X40*( 1 + AD40 )*( 1 + AN40 )</f>
        <v>2</v>
      </c>
      <c r="I40" s="69">
        <f>H40*(2-1*(Station&gt;0)*(F40=0))*(1+AE40)</f>
        <v>4</v>
      </c>
      <c r="J40" s="69">
        <f xml:space="preserve"> G40 * MAX(0.5,F40) * IF( $K40=Tables!$A$84, Hull, DriveCapacity ) * 10% * ( 1 + AO40 )</f>
        <v>20</v>
      </c>
      <c r="K40" s="33" t="s">
        <v>241</v>
      </c>
      <c r="L40" s="71">
        <f>H40/35</f>
        <v>5.7142857142857141E-2</v>
      </c>
      <c r="M40" s="106">
        <f t="shared" si="4"/>
        <v>12</v>
      </c>
      <c r="N40" s="114" t="str">
        <f t="shared" ref="N40:N42" si="13" xml:space="preserve"> IF( AF40&lt;&gt;0, AB40, "" )</f>
        <v/>
      </c>
      <c r="O40" s="33" t="s">
        <v>41</v>
      </c>
      <c r="P40" s="33" t="s">
        <v>95</v>
      </c>
      <c r="Q40" s="33" t="s">
        <v>346</v>
      </c>
      <c r="U40" s="69">
        <f t="shared" ref="U40:U41" si="14">I40*50%*(J40&gt;0)</f>
        <v>2</v>
      </c>
      <c r="V40" s="69">
        <f t="shared" ref="V40:V41" si="15" xml:space="preserve"> (C40&gt;0) * H40 * 10%</f>
        <v>0</v>
      </c>
      <c r="W40">
        <f>VLOOKUP(M40-MAX(-2,E40)*(E40&lt;0),Tables!A88:C99,2)</f>
        <v>7</v>
      </c>
      <c r="X40" s="11">
        <f xml:space="preserve"> VLOOKUP(F40,Tables!B88:D99,2) * (1 - 0.5*(Station&gt;0)*(F40=0))</f>
        <v>0.02</v>
      </c>
      <c r="Y40">
        <f>LOOKUP(F40,Tables!B88:B99,Tables!A88:A99)</f>
        <v>10</v>
      </c>
      <c r="AA40" s="43">
        <f t="shared" ref="AA40:AA41" si="16" xml:space="preserve"> IF( AC40&gt;0,-0.5, MIN( MAX( -2, IF(E40&lt;0,E40,0), M40-Y40 ), IF(E40&gt;=0,E40,9), 3 ) )</f>
        <v>0</v>
      </c>
      <c r="AB40" s="1" t="str">
        <f>VLOOKUP($AA40,Tables!$A$508:$D$515,2)</f>
        <v>Standard</v>
      </c>
      <c r="AC40" s="108">
        <f t="shared" ref="AC40:AC42" si="17" xml:space="preserve"> 1 * AND( E40&lt;0, E40&gt;-1 )</f>
        <v>0</v>
      </c>
      <c r="AD40" s="30">
        <f>VLOOKUP($AA40,Tables!$A$508:$D$515,3)</f>
        <v>0</v>
      </c>
      <c r="AE40" s="30">
        <f>VLOOKUP($AA40,Tables!$A$508:$D$515,4)</f>
        <v>0</v>
      </c>
      <c r="AF40" s="123">
        <f>VLOOKUP($AA40,Tables!$A$508:$E$515,5)</f>
        <v>0</v>
      </c>
      <c r="AI40">
        <f t="shared" ref="AI40:AI42" si="18" xml:space="preserve"> 1*( ABS(AF40)&gt;=ABS(AT40) ) * (SIGN(AF40)=SIGN(AT40)) * (AT40&lt;&gt;0)</f>
        <v>0</v>
      </c>
      <c r="AJ40">
        <f t="shared" ref="AJ40:AJ42" si="19" xml:space="preserve"> MAX( 0, AF40 -  AT40*(AI40&gt;0) )</f>
        <v>0</v>
      </c>
      <c r="AK40">
        <f t="shared" ref="AK40:AK42" si="20" xml:space="preserve"> MAX( 0, -AF40 +  AT40*(AI40&gt;0) )</f>
        <v>0</v>
      </c>
      <c r="AM40" t="str">
        <f t="shared" ref="AM40:AM42" si="21" xml:space="preserve"> CONCATENATE(  IF(AF40&lt;&gt;0,CONCATENATE(AF40,":"),""),  IF(AC40,"Budget:",""),  IF(AI40&gt;0,AS40,""),  IF(AND(AI40&gt;0,AJ40&gt;0),",",""),  IF(AJ40&gt;0,BA40,""),  IF(AK40&gt;0,BI40,"")  )</f>
        <v/>
      </c>
      <c r="AN40">
        <f t="shared" ref="AN40:AN42" si="22" xml:space="preserve"> ($AI40&gt;0)*AV40 + IF( $BC40&gt;0, $AJ40, 1*($AJ40&lt;&gt;0) )*BD40 + IF( $BK40&gt;0, $AK40, 1*($AK40&lt;&gt;0) )*BL40</f>
        <v>0</v>
      </c>
      <c r="AO40">
        <f t="shared" ref="AO40:AO42" si="23" xml:space="preserve"> ($AI40&gt;0)*AW40 + IF( $BC40&gt;0, $AJ40, 1*($AJ40&lt;&gt;0) )*BE40 + IF( $BK40&gt;0, $AK40, 1*($AK40&lt;&gt;0) )*BM40</f>
        <v>0</v>
      </c>
      <c r="AP40">
        <f t="shared" ref="AP40:AP42" si="24" xml:space="preserve"> ($AI40&gt;0)*AX40 + IF( $BC40&gt;0, $AJ40, 1*($AJ40&lt;&gt;0) )*BF40 + IF( $BK40&gt;0, $AK40, 1*($AK40&lt;&gt;0) )*BN40</f>
        <v>0</v>
      </c>
      <c r="AR40" s="71" t="str">
        <f t="shared" ref="AR40:AR42" si="25">P40</f>
        <v/>
      </c>
      <c r="AS40" t="str">
        <f xml:space="preserve"> VLOOKUP( $AR40, Tables!$A$128:$J$141, 2, 0 )</f>
        <v/>
      </c>
      <c r="AT40">
        <f xml:space="preserve"> VLOOKUP( $AR40, Tables!$A$128:$J$141, 3, 0 )</f>
        <v>0</v>
      </c>
      <c r="AU40">
        <f xml:space="preserve"> VLOOKUP( $AR40, Tables!$A$128:$J$141, 4, 0 )</f>
        <v>1</v>
      </c>
      <c r="AV40">
        <f xml:space="preserve"> VLOOKUP( $AR40, Tables!$A$128:$J$141, 5, 0 )</f>
        <v>0</v>
      </c>
      <c r="AW40">
        <f xml:space="preserve"> VLOOKUP( $AR40, Tables!$A$128:$J$141, 6, 0 )</f>
        <v>0</v>
      </c>
      <c r="AX40">
        <f xml:space="preserve"> VLOOKUP( $AR40, Tables!$A$128:$J$141, 8, 0 )</f>
        <v>0</v>
      </c>
      <c r="AZ40" s="71" t="str">
        <f t="shared" ref="AZ40:AZ42" si="26">O40</f>
        <v>Reduced Size</v>
      </c>
      <c r="BA40" t="str">
        <f xml:space="preserve"> VLOOKUP( $AZ40, Tables!$A$128:$J$141, 2, 0 )</f>
        <v>RedSiz</v>
      </c>
      <c r="BB40">
        <f xml:space="preserve"> VLOOKUP( $AZ40, Tables!$A$128:$J$141, 3, 0 )</f>
        <v>1</v>
      </c>
      <c r="BC40">
        <f xml:space="preserve"> VLOOKUP( $AZ40, Tables!$A$128:$J$141, 4, 0 )</f>
        <v>1</v>
      </c>
      <c r="BD40">
        <f xml:space="preserve"> VLOOKUP( $AZ40, Tables!$A$128:$J$141, 5, 0 )</f>
        <v>-0.1</v>
      </c>
      <c r="BE40">
        <f xml:space="preserve"> VLOOKUP( $AZ40, Tables!$A$128:$J$141, 6, 0 )</f>
        <v>0</v>
      </c>
      <c r="BF40">
        <f xml:space="preserve"> VLOOKUP( $AZ40, Tables!$A$128:$J$141, 8, 0 )</f>
        <v>0</v>
      </c>
      <c r="BH40" s="71" t="str">
        <f t="shared" ref="BH40:BH42" si="27">Q40</f>
        <v>Energy Inefficient</v>
      </c>
      <c r="BI40" t="str">
        <f xml:space="preserve"> VLOOKUP( $BH40, Tables!$A$128:$J$141, 2, 0 )</f>
        <v>EneIne</v>
      </c>
      <c r="BJ40">
        <f xml:space="preserve"> VLOOKUP( $BH40, Tables!$A$128:$J$141, 3, 0 )</f>
        <v>-1</v>
      </c>
      <c r="BK40">
        <f xml:space="preserve"> VLOOKUP( $BH40, Tables!$A$128:$J$141, 4, 0 )</f>
        <v>1</v>
      </c>
      <c r="BL40">
        <f xml:space="preserve"> VLOOKUP( $BH40, Tables!$A$128:$J$141, 5, 0 )</f>
        <v>0</v>
      </c>
      <c r="BM40">
        <f xml:space="preserve"> VLOOKUP( $BH40, Tables!$A$128:$J$141, 6, 0 )</f>
        <v>0.3</v>
      </c>
      <c r="BN40">
        <f xml:space="preserve"> VLOOKUP( $BH40, Tables!$A$128:$J$141, 8, 0 )</f>
        <v>0</v>
      </c>
    </row>
    <row r="41" spans="1:66">
      <c r="A41" t="s">
        <v>452</v>
      </c>
      <c r="B41" s="21" t="str">
        <f t="shared" si="12"/>
        <v/>
      </c>
      <c r="C41" s="80"/>
      <c r="D41" s="33">
        <v>0</v>
      </c>
      <c r="E41" s="42">
        <f>3*(D41&gt;0)</f>
        <v>0</v>
      </c>
      <c r="F41" s="4">
        <f>MIN(N(D41),W41)</f>
        <v>0</v>
      </c>
      <c r="G41" s="71">
        <f>1*(D41&gt;0)</f>
        <v>0</v>
      </c>
      <c r="H41" s="69">
        <f>G41*IF( $K41=Tables!$A$84, Hull, DriveCapacity )*X41*( 1 + AD41 )*( 1 + AN41 )</f>
        <v>0</v>
      </c>
      <c r="I41" s="69">
        <f>H41*0.2*(1+AE41)</f>
        <v>0</v>
      </c>
      <c r="J41" s="69"/>
      <c r="K41" s="33" t="s">
        <v>241</v>
      </c>
      <c r="L41" s="71">
        <f>H41/35</f>
        <v>0</v>
      </c>
      <c r="M41" s="106">
        <f t="shared" si="4"/>
        <v>12</v>
      </c>
      <c r="N41" s="114" t="str">
        <f t="shared" si="13"/>
        <v/>
      </c>
      <c r="O41" s="33" t="s">
        <v>116</v>
      </c>
      <c r="P41" s="33" t="s">
        <v>95</v>
      </c>
      <c r="Q41" s="33" t="s">
        <v>417</v>
      </c>
      <c r="U41" s="69">
        <f t="shared" si="14"/>
        <v>0</v>
      </c>
      <c r="V41" s="69">
        <f t="shared" si="15"/>
        <v>0</v>
      </c>
      <c r="W41">
        <f>VLOOKUP(M41-MAX(-2,E41)*(E41&lt;0),Tables!$E$89:$G$105,2)</f>
        <v>16</v>
      </c>
      <c r="X41" s="86">
        <f>VLOOKUP(F41,Tables!$F$89:$G$105,2)</f>
        <v>0</v>
      </c>
      <c r="Y41">
        <f>LOOKUP(F41,Tables!F71:F92,Tables!E71:E92)</f>
        <v>0</v>
      </c>
      <c r="AA41" s="43">
        <f t="shared" si="16"/>
        <v>0</v>
      </c>
      <c r="AB41" s="1" t="str">
        <f>VLOOKUP($AA41,Tables!$A$508:$D$515,2)</f>
        <v>Standard</v>
      </c>
      <c r="AC41" s="108">
        <f t="shared" si="17"/>
        <v>0</v>
      </c>
      <c r="AD41" s="30">
        <f>VLOOKUP($AA41,Tables!$A$508:$D$515,3)</f>
        <v>0</v>
      </c>
      <c r="AE41" s="30">
        <f>VLOOKUP($AA41,Tables!$A$508:$D$515,4)</f>
        <v>0</v>
      </c>
      <c r="AF41" s="123">
        <f>VLOOKUP($AA41,Tables!$A$508:$E$515,5)</f>
        <v>0</v>
      </c>
      <c r="AI41">
        <f t="shared" si="18"/>
        <v>0</v>
      </c>
      <c r="AJ41">
        <f t="shared" si="19"/>
        <v>0</v>
      </c>
      <c r="AK41">
        <f t="shared" si="20"/>
        <v>0</v>
      </c>
      <c r="AM41" t="str">
        <f t="shared" si="21"/>
        <v/>
      </c>
      <c r="AN41">
        <f t="shared" si="22"/>
        <v>0</v>
      </c>
      <c r="AO41">
        <f t="shared" si="23"/>
        <v>0</v>
      </c>
      <c r="AP41">
        <f t="shared" si="24"/>
        <v>0</v>
      </c>
      <c r="AR41" s="71" t="str">
        <f t="shared" si="25"/>
        <v/>
      </c>
      <c r="AS41" t="str">
        <f xml:space="preserve"> VLOOKUP( $AR41, Tables!$A$128:$J$141, 2, 0 )</f>
        <v/>
      </c>
      <c r="AT41">
        <f xml:space="preserve"> VLOOKUP( $AR41, Tables!$A$128:$J$141, 3, 0 )</f>
        <v>0</v>
      </c>
      <c r="AU41">
        <f xml:space="preserve"> VLOOKUP( $AR41, Tables!$A$128:$J$141, 4, 0 )</f>
        <v>1</v>
      </c>
      <c r="AV41">
        <f xml:space="preserve"> VLOOKUP( $AR41, Tables!$A$128:$J$141, 5, 0 )</f>
        <v>0</v>
      </c>
      <c r="AW41">
        <f xml:space="preserve"> VLOOKUP( $AR41, Tables!$A$128:$J$141, 6, 0 )</f>
        <v>0</v>
      </c>
      <c r="AX41">
        <f xml:space="preserve"> VLOOKUP( $AR41, Tables!$A$128:$J$141, 8, 0 )</f>
        <v>0</v>
      </c>
      <c r="AZ41" s="71" t="str">
        <f t="shared" si="26"/>
        <v>Fuel Efficient</v>
      </c>
      <c r="BA41" t="str">
        <f xml:space="preserve"> VLOOKUP( $AZ41, Tables!$A$128:$J$141, 2, 0 )</f>
        <v>FuEff</v>
      </c>
      <c r="BB41">
        <f xml:space="preserve"> VLOOKUP( $AZ41, Tables!$A$128:$J$141, 3, 0 )</f>
        <v>1</v>
      </c>
      <c r="BC41">
        <f xml:space="preserve"> VLOOKUP( $AZ41, Tables!$A$128:$J$141, 4, 0 )</f>
        <v>1</v>
      </c>
      <c r="BD41">
        <f xml:space="preserve"> VLOOKUP( $AZ41, Tables!$A$128:$J$141, 5, 0 )</f>
        <v>0</v>
      </c>
      <c r="BE41">
        <f xml:space="preserve"> VLOOKUP( $AZ41, Tables!$A$128:$J$141, 6, 0 )</f>
        <v>0</v>
      </c>
      <c r="BF41">
        <f xml:space="preserve"> VLOOKUP( $AZ41, Tables!$A$128:$J$141, 8, 0 )</f>
        <v>-0.2</v>
      </c>
      <c r="BH41" s="71" t="str">
        <f t="shared" si="27"/>
        <v>Fuel Inefficient</v>
      </c>
      <c r="BI41" t="str">
        <f xml:space="preserve"> VLOOKUP( $BH41, Tables!$A$128:$J$141, 2, 0 )</f>
        <v>FuIneff</v>
      </c>
      <c r="BJ41">
        <f xml:space="preserve"> VLOOKUP( $BH41, Tables!$A$128:$J$141, 3, 0 )</f>
        <v>1</v>
      </c>
      <c r="BK41">
        <f xml:space="preserve"> VLOOKUP( $BH41, Tables!$A$128:$J$141, 4, 0 )</f>
        <v>1</v>
      </c>
      <c r="BL41">
        <f xml:space="preserve"> VLOOKUP( $BH41, Tables!$A$128:$J$141, 5, 0 )</f>
        <v>0</v>
      </c>
      <c r="BM41">
        <f xml:space="preserve"> VLOOKUP( $BH41, Tables!$A$128:$J$141, 6, 0 )</f>
        <v>0</v>
      </c>
      <c r="BN41">
        <f xml:space="preserve"> VLOOKUP( $BH41, Tables!$A$128:$J$141, 8, 0 )</f>
        <v>0.25</v>
      </c>
    </row>
    <row r="42" spans="1:66">
      <c r="A42" t="str">
        <f>CONCATENATE("Power P  (TL",Z42,")")</f>
        <v>Power P  (TL12)</v>
      </c>
      <c r="B42" s="21" t="str">
        <f t="shared" si="12"/>
        <v/>
      </c>
      <c r="C42" s="80"/>
      <c r="D42" s="3">
        <v>0</v>
      </c>
      <c r="E42" s="42">
        <f xml:space="preserve"> 3*(Military&lt;0)</f>
        <v>0</v>
      </c>
      <c r="F42" s="4"/>
      <c r="G42" s="3">
        <v>1</v>
      </c>
      <c r="H42" s="69">
        <f xml:space="preserve"> G42 * J42 / (X42*(1+AO42)) *( 1 + AD42 )*( 1 + AN42 )</f>
        <v>2.7666666666666666</v>
      </c>
      <c r="I42" s="69">
        <f>H42*Y42*(1+AE42)</f>
        <v>2.7666666666666666</v>
      </c>
      <c r="J42" s="69">
        <f xml:space="preserve"> IF( D42&gt;0, D42, SUM(J10*(1-45%*(Military)),J11:J38,MAX(J39:J41),J43:J144) )</f>
        <v>41.5</v>
      </c>
      <c r="K42" s="17"/>
      <c r="L42" s="3">
        <f>H42/35</f>
        <v>7.9047619047619047E-2</v>
      </c>
      <c r="M42" s="106">
        <f t="shared" si="4"/>
        <v>12</v>
      </c>
      <c r="N42" s="114" t="str">
        <f t="shared" si="13"/>
        <v/>
      </c>
      <c r="O42" s="33" t="s">
        <v>41</v>
      </c>
      <c r="P42" s="33" t="s">
        <v>95</v>
      </c>
      <c r="Q42" s="33" t="s">
        <v>149</v>
      </c>
      <c r="R42" s="72"/>
      <c r="S42" s="72"/>
      <c r="T42" s="72"/>
      <c r="U42" s="69">
        <f t="shared" si="3"/>
        <v>1.3833333333333333</v>
      </c>
      <c r="V42" s="69">
        <f t="shared" si="5"/>
        <v>0</v>
      </c>
      <c r="W42" s="44">
        <f>MAX(8,M42-MAX(-2,E42))</f>
        <v>12</v>
      </c>
      <c r="X42">
        <f>VLOOKUP(W42,Tables!A122:C124,3)</f>
        <v>15</v>
      </c>
      <c r="Y42">
        <f>VLOOKUP(W42,Tables!A122:C124,2)</f>
        <v>1</v>
      </c>
      <c r="Z42">
        <f>VLOOKUP(W42,Tables!A122:C124,1)</f>
        <v>12</v>
      </c>
      <c r="AA42" s="43">
        <f xml:space="preserve"> IF( AC42&gt;0,-0.5, MIN( MAX( -2, IF(E42&lt;0,E42,0), M42-Z42 ), IF(E42&gt;=0,E42,9), 3 ) )</f>
        <v>0</v>
      </c>
      <c r="AB42" s="1" t="str">
        <f>VLOOKUP($AA42,Tables!$A$508:$D$515,2)</f>
        <v>Standard</v>
      </c>
      <c r="AC42" s="108">
        <f t="shared" si="17"/>
        <v>0</v>
      </c>
      <c r="AD42" s="30">
        <f>VLOOKUP($AA42,Tables!$A$508:$D$515,3)</f>
        <v>0</v>
      </c>
      <c r="AE42" s="30">
        <f>VLOOKUP($AA42,Tables!$A$508:$D$515,4)</f>
        <v>0</v>
      </c>
      <c r="AF42" s="123">
        <f>VLOOKUP($AA42,Tables!$A$508:$E$515,5)</f>
        <v>0</v>
      </c>
      <c r="AI42">
        <f t="shared" si="18"/>
        <v>0</v>
      </c>
      <c r="AJ42">
        <f t="shared" si="19"/>
        <v>0</v>
      </c>
      <c r="AK42">
        <f t="shared" si="20"/>
        <v>0</v>
      </c>
      <c r="AM42" t="str">
        <f t="shared" si="21"/>
        <v/>
      </c>
      <c r="AN42">
        <f t="shared" si="22"/>
        <v>0</v>
      </c>
      <c r="AO42">
        <f t="shared" si="23"/>
        <v>0</v>
      </c>
      <c r="AP42">
        <f t="shared" si="24"/>
        <v>0</v>
      </c>
      <c r="AR42" s="71" t="str">
        <f t="shared" si="25"/>
        <v/>
      </c>
      <c r="AS42" t="str">
        <f xml:space="preserve"> VLOOKUP( $AR42, Tables!$A$128:$J$141, 2, 0 )</f>
        <v/>
      </c>
      <c r="AT42">
        <f xml:space="preserve"> VLOOKUP( $AR42, Tables!$A$128:$J$141, 3, 0 )</f>
        <v>0</v>
      </c>
      <c r="AU42">
        <f xml:space="preserve"> VLOOKUP( $AR42, Tables!$A$128:$J$141, 4, 0 )</f>
        <v>1</v>
      </c>
      <c r="AV42">
        <f xml:space="preserve"> VLOOKUP( $AR42, Tables!$A$128:$J$141, 5, 0 )</f>
        <v>0</v>
      </c>
      <c r="AW42">
        <f xml:space="preserve"> VLOOKUP( $AR42, Tables!$A$128:$J$141, 6, 0 )</f>
        <v>0</v>
      </c>
      <c r="AX42">
        <f xml:space="preserve"> VLOOKUP( $AR42, Tables!$A$128:$J$141, 8, 0 )</f>
        <v>0</v>
      </c>
      <c r="AZ42" s="71" t="str">
        <f t="shared" si="26"/>
        <v>Reduced Size</v>
      </c>
      <c r="BA42" t="str">
        <f xml:space="preserve"> VLOOKUP( $AZ42, Tables!$A$128:$J$141, 2, 0 )</f>
        <v>RedSiz</v>
      </c>
      <c r="BB42">
        <f xml:space="preserve"> VLOOKUP( $AZ42, Tables!$A$128:$J$141, 3, 0 )</f>
        <v>1</v>
      </c>
      <c r="BC42">
        <f xml:space="preserve"> VLOOKUP( $AZ42, Tables!$A$128:$J$141, 4, 0 )</f>
        <v>1</v>
      </c>
      <c r="BD42">
        <f xml:space="preserve"> VLOOKUP( $AZ42, Tables!$A$128:$J$141, 5, 0 )</f>
        <v>-0.1</v>
      </c>
      <c r="BE42">
        <f xml:space="preserve"> VLOOKUP( $AZ42, Tables!$A$128:$J$141, 7, 0 )</f>
        <v>0</v>
      </c>
      <c r="BF42">
        <f xml:space="preserve"> VLOOKUP( $AZ42, Tables!$A$128:$J$141, 8, 0 )</f>
        <v>0</v>
      </c>
      <c r="BH42" s="71" t="str">
        <f t="shared" si="27"/>
        <v>Increased Size</v>
      </c>
      <c r="BI42" t="str">
        <f xml:space="preserve"> VLOOKUP( $BH42, Tables!$A$128:$J$141, 2, 0 )</f>
        <v>IncSiz</v>
      </c>
      <c r="BJ42">
        <f xml:space="preserve"> VLOOKUP( $BH42, Tables!$A$128:$J$141, 3, 0 )</f>
        <v>-1</v>
      </c>
      <c r="BK42">
        <f xml:space="preserve"> VLOOKUP( $BH42, Tables!$A$128:$J$141, 4, 0 )</f>
        <v>1</v>
      </c>
      <c r="BL42">
        <f xml:space="preserve"> VLOOKUP( $BH42, Tables!$A$128:$J$141, 5, 0 )</f>
        <v>0.25</v>
      </c>
      <c r="BM42">
        <f xml:space="preserve"> VLOOKUP( $BH42, Tables!$A$128:$J$141, 6, 0 )</f>
        <v>0</v>
      </c>
      <c r="BN42">
        <f xml:space="preserve"> VLOOKUP( $BH42, Tables!$A$128:$J$141, 8, 0 )</f>
        <v>0</v>
      </c>
    </row>
    <row r="43" spans="1:66">
      <c r="A43" t="s">
        <v>144</v>
      </c>
      <c r="B43" s="21"/>
      <c r="C43" s="80"/>
      <c r="D43" s="14">
        <v>0</v>
      </c>
      <c r="E43" s="41"/>
      <c r="F43" s="4"/>
      <c r="G43" s="3">
        <f>1*(D43&gt;0)</f>
        <v>0</v>
      </c>
      <c r="H43" s="69">
        <f>G43*H42*10%</f>
        <v>0</v>
      </c>
      <c r="I43" s="69">
        <f>G43*I42*10%</f>
        <v>0</v>
      </c>
      <c r="J43" s="69"/>
      <c r="K43" s="3"/>
      <c r="L43" s="71">
        <f>H43/35</f>
        <v>0</v>
      </c>
      <c r="M43" s="106"/>
      <c r="N43" s="21"/>
      <c r="U43" s="69">
        <f t="shared" si="3"/>
        <v>0</v>
      </c>
      <c r="V43" s="69">
        <f t="shared" si="5"/>
        <v>0</v>
      </c>
      <c r="AA43" s="44"/>
    </row>
    <row r="44" spans="1:66">
      <c r="A44" t="s">
        <v>114</v>
      </c>
      <c r="B44" s="148">
        <f>H44*IF( M44&lt;12, 40, 60 )</f>
        <v>0</v>
      </c>
      <c r="C44" s="80"/>
      <c r="D44" s="33">
        <v>0</v>
      </c>
      <c r="E44" s="44"/>
      <c r="F44" s="4"/>
      <c r="G44" s="35">
        <f>D44</f>
        <v>0</v>
      </c>
      <c r="H44" s="69">
        <f>G44</f>
        <v>0</v>
      </c>
      <c r="I44" s="69">
        <f>H44*IF( M44&lt;12, 0.1, 0.2 )</f>
        <v>0</v>
      </c>
      <c r="J44" s="69"/>
      <c r="K44" s="35"/>
      <c r="L44" s="35"/>
      <c r="M44" s="106">
        <f t="shared" si="4"/>
        <v>12</v>
      </c>
      <c r="N44" s="21"/>
      <c r="U44" s="69">
        <f t="shared" si="3"/>
        <v>0</v>
      </c>
      <c r="V44" s="69">
        <f t="shared" si="5"/>
        <v>0</v>
      </c>
    </row>
    <row r="45" spans="1:66">
      <c r="B45" s="21"/>
      <c r="C45" s="80"/>
      <c r="D45" s="3"/>
      <c r="E45" s="41"/>
      <c r="F45" s="4"/>
      <c r="G45" s="3"/>
      <c r="H45" s="69"/>
      <c r="I45" s="69"/>
      <c r="J45" s="69"/>
      <c r="K45" s="3"/>
      <c r="L45" s="3"/>
      <c r="M45" s="106"/>
      <c r="U45" s="69">
        <f t="shared" si="3"/>
        <v>0</v>
      </c>
      <c r="V45" s="69">
        <f t="shared" si="5"/>
        <v>0</v>
      </c>
    </row>
    <row r="46" spans="1:66">
      <c r="A46" t="s">
        <v>291</v>
      </c>
      <c r="B46" s="149">
        <f>IF( DropTanks&gt;0,  DropTanks,  F39*B50 )*(D46&gt;0)</f>
        <v>0</v>
      </c>
      <c r="C46" s="80"/>
      <c r="D46" s="33">
        <f xml:space="preserve"> 1* (D47&gt;0)</f>
        <v>0</v>
      </c>
      <c r="E46" s="41"/>
      <c r="F46" s="34">
        <f>D46</f>
        <v>0</v>
      </c>
      <c r="G46" s="35">
        <f>1*(D46&gt;0)</f>
        <v>0</v>
      </c>
      <c r="H46" s="69">
        <f>G46*F46*B46*0.4%</f>
        <v>0</v>
      </c>
      <c r="I46" s="69">
        <f>H46*0.5</f>
        <v>0</v>
      </c>
      <c r="J46" s="69"/>
      <c r="K46" s="24"/>
      <c r="L46" s="24"/>
      <c r="M46" s="106"/>
      <c r="U46" s="69">
        <f t="shared" si="3"/>
        <v>0</v>
      </c>
      <c r="V46" s="69">
        <f t="shared" si="5"/>
        <v>0</v>
      </c>
      <c r="W46" s="1" t="s">
        <v>226</v>
      </c>
      <c r="X46" s="1" t="s">
        <v>143</v>
      </c>
      <c r="Y46" s="1" t="s">
        <v>227</v>
      </c>
    </row>
    <row r="47" spans="1:66">
      <c r="A47" t="s">
        <v>214</v>
      </c>
      <c r="B47" s="149">
        <f>IF( $E47=$AA47,  W47,  IF( $E47=$AB47,  X47,  Y47  )  )</f>
        <v>0</v>
      </c>
      <c r="C47" s="80"/>
      <c r="D47" s="89">
        <v>0</v>
      </c>
      <c r="E47" s="70" t="s">
        <v>225</v>
      </c>
      <c r="F47" s="34"/>
      <c r="G47" s="35"/>
      <c r="H47" s="69"/>
      <c r="I47" s="69">
        <f>DropTanks*0.025</f>
        <v>0</v>
      </c>
      <c r="J47" s="69"/>
      <c r="K47" s="24"/>
      <c r="L47" s="24"/>
      <c r="M47" s="106">
        <f t="shared" si="4"/>
        <v>12</v>
      </c>
      <c r="N47" t="str">
        <f xml:space="preserve"> IF( $E47&lt;&gt;$AC47, CONCATENATE( "DM " &amp; M47-15 ), "" )</f>
        <v>DM -3</v>
      </c>
      <c r="U47" s="69">
        <f t="shared" si="3"/>
        <v>0</v>
      </c>
      <c r="V47" s="69">
        <f t="shared" si="5"/>
        <v>0</v>
      </c>
      <c r="W47" s="139">
        <f xml:space="preserve"> (Hull+ExternalLoad+Pods)*(1/(1-D47*10%*(1 + $AP$39))-1)</f>
        <v>0</v>
      </c>
      <c r="X47" s="139">
        <f xml:space="preserve"> (Hull+ExternalLoad+Pods-H48/105%-H49-H50)/(1-$F$39/10*(1 + $AP$39))-Hull-ExternalLoad-Pods</f>
        <v>0</v>
      </c>
      <c r="Y47" s="139">
        <f xml:space="preserve"> D47*(Hull+ExternalLoad+Pods)*10%*(1 + $AP$39)</f>
        <v>0</v>
      </c>
      <c r="AA47" t="s">
        <v>226</v>
      </c>
      <c r="AB47" t="s">
        <v>143</v>
      </c>
      <c r="AC47" t="s">
        <v>227</v>
      </c>
    </row>
    <row r="48" spans="1:66">
      <c r="A48" t="s">
        <v>454</v>
      </c>
      <c r="B48" s="21"/>
      <c r="C48" s="80">
        <v>0</v>
      </c>
      <c r="D48" s="89">
        <f xml:space="preserve"> MAX( 0, $F$39 - 2 - $D$47 )</f>
        <v>0</v>
      </c>
      <c r="E48" s="44"/>
      <c r="F48" s="4">
        <f>D48</f>
        <v>0</v>
      </c>
      <c r="G48" s="71">
        <f>1*(D48&gt;0)</f>
        <v>0</v>
      </c>
      <c r="H48" s="69">
        <f>G48*F48* $B$50 * 105%</f>
        <v>0</v>
      </c>
      <c r="I48" s="69">
        <f xml:space="preserve"> H48 *0.005</f>
        <v>0</v>
      </c>
      <c r="J48" s="69"/>
      <c r="K48" s="71"/>
      <c r="L48" s="71"/>
      <c r="M48" s="106"/>
      <c r="U48" s="69">
        <f t="shared" si="3"/>
        <v>0</v>
      </c>
      <c r="V48" s="69">
        <f t="shared" ref="V48" si="28" xml:space="preserve"> (C48&gt;0) * H48 * 10%</f>
        <v>0</v>
      </c>
    </row>
    <row r="49" spans="1:47">
      <c r="A49" t="s">
        <v>290</v>
      </c>
      <c r="C49" s="111">
        <v>0</v>
      </c>
      <c r="D49" s="89">
        <f xml:space="preserve"> MAX( 0, $F$39 - $D$48 - $D$47 )</f>
        <v>2</v>
      </c>
      <c r="E49" s="44"/>
      <c r="F49" s="4">
        <f t="shared" ref="F49:F50" si="29">D49</f>
        <v>2</v>
      </c>
      <c r="G49" s="71">
        <f t="shared" ref="G49:G51" si="30">1*(D49&gt;0)</f>
        <v>1</v>
      </c>
      <c r="H49" s="69">
        <f>G49*F49* $B$50</f>
        <v>20</v>
      </c>
      <c r="I49" s="69">
        <f>H49*0.001</f>
        <v>0.02</v>
      </c>
      <c r="J49" s="69"/>
      <c r="K49" s="71"/>
      <c r="L49" s="71"/>
      <c r="M49" s="106"/>
      <c r="N49" t="s">
        <v>445</v>
      </c>
      <c r="U49" s="69">
        <f t="shared" si="3"/>
        <v>0</v>
      </c>
      <c r="V49" s="69"/>
      <c r="X49" s="86"/>
    </row>
    <row r="50" spans="1:47" ht="13" customHeight="1">
      <c r="A50" s="138" t="s">
        <v>65</v>
      </c>
      <c r="B50" s="118">
        <f xml:space="preserve"> IF( IFERROR($E$47&lt;&gt;$AB$47,TRUE), DriveCapacity, Hull+ExternalLoad+Pods )*10%*(1 + AP39)</f>
        <v>10</v>
      </c>
      <c r="C50" s="80">
        <v>0</v>
      </c>
      <c r="D50" s="89">
        <f xml:space="preserve"> MAX( 0, $F$39 - $D$47 - SUM( $D$48:$D49 ) )</f>
        <v>0</v>
      </c>
      <c r="E50" s="41"/>
      <c r="F50" s="4">
        <f t="shared" si="29"/>
        <v>0</v>
      </c>
      <c r="G50" s="71">
        <f t="shared" si="30"/>
        <v>0</v>
      </c>
      <c r="H50" s="69">
        <f>G50*F50*B50</f>
        <v>0</v>
      </c>
      <c r="I50" s="69"/>
      <c r="J50" s="69"/>
      <c r="K50" s="3"/>
      <c r="L50" s="3"/>
      <c r="M50" s="106"/>
      <c r="U50" s="69">
        <f t="shared" si="3"/>
        <v>0</v>
      </c>
      <c r="V50" s="69">
        <f t="shared" si="5"/>
        <v>0</v>
      </c>
    </row>
    <row r="51" spans="1:47" ht="13" customHeight="1">
      <c r="A51" t="s">
        <v>641</v>
      </c>
      <c r="B51" s="129">
        <f xml:space="preserve"> F41/10*Hull*2.5%*(1+AP41)</f>
        <v>0</v>
      </c>
      <c r="C51" s="111">
        <v>0</v>
      </c>
      <c r="D51" s="33">
        <f>10*(F41&gt;0)</f>
        <v>0</v>
      </c>
      <c r="E51" s="44"/>
      <c r="F51" s="110">
        <f>D51</f>
        <v>0</v>
      </c>
      <c r="G51" s="71">
        <f t="shared" si="30"/>
        <v>0</v>
      </c>
      <c r="H51" s="69">
        <f xml:space="preserve"> F51*G51*B51</f>
        <v>0</v>
      </c>
      <c r="I51" s="69">
        <f>H51*0.001</f>
        <v>0</v>
      </c>
      <c r="J51" s="69"/>
      <c r="K51" s="71"/>
      <c r="L51" s="71"/>
      <c r="M51" s="106"/>
      <c r="N51" t="s">
        <v>445</v>
      </c>
      <c r="U51" s="69">
        <f t="shared" ref="U51" si="31">I51*50%*(J51&gt;0)</f>
        <v>0</v>
      </c>
      <c r="V51" s="69"/>
      <c r="X51" s="86"/>
    </row>
    <row r="52" spans="1:47" ht="13" customHeight="1">
      <c r="A52" t="s">
        <v>447</v>
      </c>
      <c r="B52" s="21"/>
      <c r="C52" s="80">
        <v>0</v>
      </c>
      <c r="D52" s="90">
        <v>4</v>
      </c>
      <c r="E52" s="41"/>
      <c r="F52" s="52">
        <f>4*H52/(ROUNDUP(H42*10%,0))</f>
        <v>4</v>
      </c>
      <c r="G52" s="3">
        <v>1</v>
      </c>
      <c r="H52" s="69">
        <f>D52/4*ROUNDUP(G52*H42*10%,0)</f>
        <v>1</v>
      </c>
      <c r="I52" s="69"/>
      <c r="J52" s="69"/>
      <c r="K52" s="3"/>
      <c r="L52" s="3"/>
      <c r="M52" s="106"/>
      <c r="U52" s="69">
        <f t="shared" si="3"/>
        <v>0</v>
      </c>
      <c r="V52" s="69">
        <f t="shared" si="5"/>
        <v>0</v>
      </c>
    </row>
    <row r="53" spans="1:47" ht="13" customHeight="1">
      <c r="A53" t="s">
        <v>749</v>
      </c>
      <c r="B53" s="147">
        <f>H53*20</f>
        <v>10</v>
      </c>
      <c r="C53" s="80">
        <v>0</v>
      </c>
      <c r="D53" s="19">
        <f xml:space="preserve"> (72-24*(Military&gt;=0)-24*(Military&gt;0))*(F39&gt;0)</f>
        <v>48</v>
      </c>
      <c r="E53" s="41"/>
      <c r="F53" s="20">
        <f>D53</f>
        <v>48</v>
      </c>
      <c r="G53" s="3">
        <f>1*(F53&gt;0)</f>
        <v>1</v>
      </c>
      <c r="H53" s="69">
        <f xml:space="preserve"> IF( F53&gt;0, IF(IFERROR($E$47=$AB$47,FALSE),DropTanks+(F39-IFERROR(D47,0))*B50,F39*B50)/20*24/F53, 0 )</f>
        <v>0.5</v>
      </c>
      <c r="I53" s="69">
        <f>H53*0.05</f>
        <v>2.5000000000000001E-2</v>
      </c>
      <c r="J53" s="69">
        <f>H53</f>
        <v>0.5</v>
      </c>
      <c r="K53" s="3"/>
      <c r="L53" s="3"/>
      <c r="M53" s="106"/>
      <c r="U53" s="69">
        <f t="shared" si="3"/>
        <v>1.2500000000000001E-2</v>
      </c>
      <c r="V53" s="69">
        <f t="shared" si="5"/>
        <v>0</v>
      </c>
    </row>
    <row r="54" spans="1:47" ht="13" customHeight="1">
      <c r="B54" s="21"/>
      <c r="C54" s="80"/>
      <c r="D54" s="3"/>
      <c r="E54" s="41"/>
      <c r="F54" s="4"/>
      <c r="G54" s="3"/>
      <c r="H54" s="69"/>
      <c r="I54" s="69"/>
      <c r="J54" s="69"/>
      <c r="K54" s="3"/>
      <c r="L54" s="3"/>
      <c r="M54" s="106"/>
      <c r="U54" s="69">
        <f t="shared" si="3"/>
        <v>0</v>
      </c>
      <c r="V54" s="69">
        <f t="shared" si="5"/>
        <v>0</v>
      </c>
      <c r="AR54" t="s">
        <v>722</v>
      </c>
      <c r="AS54" t="s">
        <v>783</v>
      </c>
      <c r="AT54" t="s">
        <v>784</v>
      </c>
      <c r="AU54" t="s">
        <v>721</v>
      </c>
    </row>
    <row r="55" spans="1:47" ht="13" customHeight="1">
      <c r="A55" s="155" t="str">
        <f xml:space="preserve"> IF( Military&gt;0, AG55, AH55 )</f>
        <v>Bridge</v>
      </c>
      <c r="B55" s="21"/>
      <c r="C55" s="80">
        <v>0</v>
      </c>
      <c r="D55" s="33">
        <v>1</v>
      </c>
      <c r="E55" s="44"/>
      <c r="F55" s="4"/>
      <c r="G55" s="71">
        <f xml:space="preserve"> MAX( 0, D55*(AD55&lt;&gt;0) )</f>
        <v>1</v>
      </c>
      <c r="H55" s="69">
        <f xml:space="preserve"> G55 * IF( AD55&lt;0, Y55, AD55 )</f>
        <v>10</v>
      </c>
      <c r="I55" s="69">
        <f xml:space="preserve"> G55 * ( AA55 + AB55 * ROUNDUP( Hull/100, 0 ) ) * (H55&gt;0)</f>
        <v>0.5</v>
      </c>
      <c r="J55" s="69"/>
      <c r="K55" s="71"/>
      <c r="L55" s="71"/>
      <c r="M55" s="106"/>
      <c r="U55" s="69">
        <f t="shared" si="3"/>
        <v>0</v>
      </c>
      <c r="V55" s="69">
        <f t="shared" si="5"/>
        <v>0</v>
      </c>
      <c r="X55" s="159" t="s">
        <v>11</v>
      </c>
      <c r="Y55" s="108">
        <f xml:space="preserve"> VLOOKUP( Hull, Tables!$G$151:$H$156, 2 )</f>
        <v>10</v>
      </c>
      <c r="Z55" s="1" t="s">
        <v>12</v>
      </c>
      <c r="AA55">
        <f xml:space="preserve"> VLOOKUP( $A55, Tables!$A$160:$O$169, 4, 0 )</f>
        <v>0</v>
      </c>
      <c r="AB55">
        <f xml:space="preserve"> VLOOKUP( $A55, Tables!$A$160:$O$169, 5, 0 )</f>
        <v>0.5</v>
      </c>
      <c r="AC55">
        <f xml:space="preserve"> VLOOKUP( $A55, Tables!$A$160:$O$169, 8, 0 )</f>
        <v>3</v>
      </c>
      <c r="AD55">
        <f xml:space="preserve"> HLOOKUP( Hull, Tables!$I$159:$O$169, 1+AC55 )</f>
        <v>10</v>
      </c>
      <c r="AE55" s="69">
        <f>I55</f>
        <v>0.5</v>
      </c>
      <c r="AG55" s="153" t="str">
        <f xml:space="preserve"> IF( Hull&gt;=5000, Tables!$A$161, IF( Station&gt;0, Tables!$A$160, Tables!$A$162 ) )</f>
        <v>Bridge</v>
      </c>
      <c r="AH55" s="153" t="str">
        <f xml:space="preserve"> IF( Station&gt;0, Tables!$A$160, Tables!$A$162 )</f>
        <v>Bridge</v>
      </c>
      <c r="AI55" s="153" t="str">
        <f xml:space="preserve"> IF( Station&gt;0, Tables!$A$160, Tables!$A$163 )</f>
        <v>Detachable Bridge</v>
      </c>
      <c r="AJ55" s="153" t="str">
        <f xml:space="preserve"> IF( Station&gt;0, Tables!$A$160, Tables!$A$164 )</f>
        <v>Small Bridge</v>
      </c>
      <c r="AK55" s="153" t="str">
        <f xml:space="preserve"> IF( Station&gt;0, Tables!$A$160, Tables!$A$165 )</f>
        <v>Small Detachable Bridge</v>
      </c>
      <c r="AL55" s="153" t="str">
        <f xml:space="preserve"> IF( Station&gt;0, Tables!$A$166, Tables!$A$166 )</f>
        <v>Sub-Command Centre</v>
      </c>
      <c r="AM55" s="153" t="str">
        <f xml:space="preserve"> IF( Station&gt;0, Tables!$A$166, IF( Hull&gt;50, Tables!$A$166, Tables!$A$167 ) )</f>
        <v>Sub-Command Centre</v>
      </c>
      <c r="AN55" s="153" t="str">
        <f xml:space="preserve"> IF( Station&gt;0, Tables!$A$166, IF( Hull&gt;50, Tables!$A$166, Tables!$A$168 ) )</f>
        <v>Sub-Command Centre</v>
      </c>
      <c r="AO55" s="154" t="str">
        <f xml:space="preserve"> Tables!$A$169</f>
        <v>Sensor Workstation</v>
      </c>
      <c r="AR55" s="158">
        <f>I55</f>
        <v>0.5</v>
      </c>
      <c r="AS55" s="156">
        <f xml:space="preserve"> G55</f>
        <v>1</v>
      </c>
      <c r="AT55" s="156">
        <v>0</v>
      </c>
      <c r="AU55" s="156">
        <v>0</v>
      </c>
    </row>
    <row r="56" spans="1:47" ht="13" customHeight="1">
      <c r="A56" s="155" t="str">
        <f xml:space="preserve"> Tables!$A$166</f>
        <v>Sub-Command Centre</v>
      </c>
      <c r="B56" s="21"/>
      <c r="C56" s="80"/>
      <c r="D56" s="33">
        <v>0</v>
      </c>
      <c r="E56" s="44"/>
      <c r="F56" s="4"/>
      <c r="G56" s="71">
        <f xml:space="preserve"> MAX( 0, D56*(AD56&lt;&gt;0) )</f>
        <v>0</v>
      </c>
      <c r="H56" s="69">
        <f xml:space="preserve"> G56 * IF( AD56&lt;0, Y56, AD56 )</f>
        <v>0</v>
      </c>
      <c r="I56" s="69">
        <f xml:space="preserve"> G56 * ( AA56 + AB56 * ROUNDUP( Hull/100, 0 ) ) * (H56&gt;0)</f>
        <v>0</v>
      </c>
      <c r="J56" s="69"/>
      <c r="K56" s="71"/>
      <c r="L56" s="71"/>
      <c r="M56" s="106"/>
      <c r="U56" s="69">
        <f t="shared" si="3"/>
        <v>0</v>
      </c>
      <c r="V56" s="69">
        <f t="shared" si="5"/>
        <v>0</v>
      </c>
      <c r="X56" s="159" t="s">
        <v>11</v>
      </c>
      <c r="Y56" s="108">
        <f xml:space="preserve"> VLOOKUP( Hull, Tables!$G$151:$H$156, 2 )</f>
        <v>10</v>
      </c>
      <c r="Z56" s="1" t="s">
        <v>12</v>
      </c>
      <c r="AA56">
        <f xml:space="preserve"> VLOOKUP( $A56, Tables!$A$160:$O$169, 4, 0 )</f>
        <v>0</v>
      </c>
      <c r="AB56">
        <f xml:space="preserve"> VLOOKUP( $A56, Tables!$A$160:$O$169, 5, 0 )</f>
        <v>0.25</v>
      </c>
      <c r="AC56">
        <f xml:space="preserve"> VLOOKUP( $A56, Tables!$A$160:$O$169, 8, 0 )</f>
        <v>7</v>
      </c>
      <c r="AD56">
        <f xml:space="preserve"> HLOOKUP( Hull, Tables!$I$159:$O$169, 1+AC56 )</f>
        <v>6</v>
      </c>
      <c r="AE56" s="69">
        <f>I56</f>
        <v>0</v>
      </c>
      <c r="AG56" s="153" t="str">
        <f xml:space="preserve"> IF( Hull&gt;=5000, Tables!$A$161, IF( Station&gt;0, Tables!$A$160, Tables!$A$162 ) )</f>
        <v>Bridge</v>
      </c>
      <c r="AH56" s="153" t="str">
        <f xml:space="preserve"> IF( Station&gt;0, Tables!$A$160, Tables!$A$162 )</f>
        <v>Bridge</v>
      </c>
      <c r="AI56" s="153" t="str">
        <f xml:space="preserve"> IF( Station&gt;0, Tables!$A$160, Tables!$A$163 )</f>
        <v>Detachable Bridge</v>
      </c>
      <c r="AJ56" s="153" t="str">
        <f xml:space="preserve"> IF( Station&gt;0, Tables!$A$160, Tables!$A$164 )</f>
        <v>Small Bridge</v>
      </c>
      <c r="AK56" s="153" t="str">
        <f xml:space="preserve"> IF( Station&gt;0, Tables!$A$160, Tables!$A$165 )</f>
        <v>Small Detachable Bridge</v>
      </c>
      <c r="AL56" s="153" t="str">
        <f xml:space="preserve"> IF( Station&gt;0, Tables!$A$166, Tables!$A$166 )</f>
        <v>Sub-Command Centre</v>
      </c>
      <c r="AM56" s="153" t="str">
        <f xml:space="preserve"> IF( Station&gt;0, Tables!$A$166, IF( Hull&gt;50, Tables!$A$166, Tables!$A$167 ) )</f>
        <v>Sub-Command Centre</v>
      </c>
      <c r="AN56" s="153" t="str">
        <f xml:space="preserve"> IF( Station&gt;0, Tables!$A$166, IF( Hull&gt;50, Tables!$A$166, Tables!$A$168 ) )</f>
        <v>Sub-Command Centre</v>
      </c>
      <c r="AO56" s="154" t="str">
        <f xml:space="preserve"> Tables!$A$169</f>
        <v>Sensor Workstation</v>
      </c>
      <c r="AR56" s="158">
        <f>I56</f>
        <v>0</v>
      </c>
      <c r="AS56" s="156">
        <f xml:space="preserve"> G56</f>
        <v>0</v>
      </c>
      <c r="AT56" s="156">
        <v>0</v>
      </c>
      <c r="AU56" s="156">
        <v>0</v>
      </c>
    </row>
    <row r="57" spans="1:47" ht="13" customHeight="1">
      <c r="A57" t="s">
        <v>449</v>
      </c>
      <c r="B57" s="21"/>
      <c r="C57" s="80"/>
      <c r="D57" s="14">
        <v>1</v>
      </c>
      <c r="E57" s="41"/>
      <c r="F57" s="4"/>
      <c r="G57" s="3">
        <f>1*(D57&gt;0)*(M57&gt;=9)</f>
        <v>1</v>
      </c>
      <c r="H57" s="69"/>
      <c r="I57" s="69">
        <f>G57*SUM(AR54:AR60)*25%</f>
        <v>0.125</v>
      </c>
      <c r="J57" s="69"/>
      <c r="K57" s="3"/>
      <c r="L57" s="3"/>
      <c r="M57" s="106">
        <f t="shared" si="4"/>
        <v>12</v>
      </c>
      <c r="U57" s="69">
        <f t="shared" si="3"/>
        <v>0</v>
      </c>
      <c r="V57" s="69">
        <f t="shared" si="5"/>
        <v>0</v>
      </c>
      <c r="W57" s="1" t="s">
        <v>694</v>
      </c>
      <c r="X57" s="1" t="s">
        <v>633</v>
      </c>
      <c r="Y57" s="1" t="s">
        <v>620</v>
      </c>
      <c r="Z57" s="1" t="s">
        <v>704</v>
      </c>
      <c r="AA57" s="1" t="s">
        <v>666</v>
      </c>
      <c r="AB57" s="1" t="s">
        <v>793</v>
      </c>
      <c r="AC57" s="1"/>
      <c r="AD57" s="1" t="s">
        <v>665</v>
      </c>
      <c r="AE57" s="1" t="s">
        <v>694</v>
      </c>
      <c r="AF57" s="1" t="s">
        <v>633</v>
      </c>
      <c r="AG57" s="1" t="s">
        <v>620</v>
      </c>
      <c r="AH57" s="1" t="s">
        <v>704</v>
      </c>
      <c r="AI57" s="1" t="s">
        <v>666</v>
      </c>
      <c r="AJ57" s="1" t="s">
        <v>793</v>
      </c>
      <c r="AL57" s="1" t="s">
        <v>794</v>
      </c>
      <c r="AM57" s="1" t="s">
        <v>793</v>
      </c>
      <c r="AO57" s="1" t="s">
        <v>666</v>
      </c>
      <c r="AP57" s="1" t="s">
        <v>793</v>
      </c>
      <c r="AR57" s="157">
        <v>0</v>
      </c>
      <c r="AS57" s="156">
        <v>0</v>
      </c>
      <c r="AT57" s="156">
        <f xml:space="preserve"> G57</f>
        <v>1</v>
      </c>
      <c r="AU57" s="156">
        <v>0</v>
      </c>
    </row>
    <row r="58" spans="1:47" ht="13" customHeight="1">
      <c r="A58" t="s">
        <v>308</v>
      </c>
      <c r="B58" s="21" t="str">
        <f>CONCATENATE(IF(F58&lt;40,"m/","CORE/"),F58,AL58, AQ58)</f>
        <v>m/10</v>
      </c>
      <c r="C58" s="42" t="str">
        <f xml:space="preserve"> IF( AND( D58&gt;0, F58&lt;5*$F$39), Tables!$B$191, Tables!$B$190 )</f>
        <v/>
      </c>
      <c r="D58" s="14">
        <f xml:space="preserve"> MAX( 2, F39-1, B145/5, 8*(Hull&gt;=5000), 10*(Hull&gt;=10000), 7*(Military&gt;0)*(Hull&gt;=100), 20*(Military&gt;0)*(Hull&gt;=5000) )</f>
        <v>2</v>
      </c>
      <c r="E58" s="42">
        <v>0</v>
      </c>
      <c r="F58" s="4">
        <f xml:space="preserve"> MAX( X58, AF58 )</f>
        <v>10</v>
      </c>
      <c r="G58" s="3">
        <v>1</v>
      </c>
      <c r="H58" s="69"/>
      <c r="I58" s="69">
        <f>G58*IF(F58&lt;=35,Y58,AG58)*(1+AM58)</f>
        <v>0.16</v>
      </c>
      <c r="J58" s="69"/>
      <c r="K58" s="3"/>
      <c r="L58" s="3"/>
      <c r="M58" s="106">
        <f t="shared" si="4"/>
        <v>12</v>
      </c>
      <c r="U58" s="69">
        <f t="shared" si="3"/>
        <v>0</v>
      </c>
      <c r="V58" s="69"/>
      <c r="W58">
        <f xml:space="preserve"> VLOOKUP( M58+MIN(MAX(0,-E58),2), Tables!$A$179:$C$186, 2 )</f>
        <v>20</v>
      </c>
      <c r="X58">
        <f>MIN( $W58, VLOOKUP(D58*5,Tables!$B$179:$C$186,1) )</f>
        <v>10</v>
      </c>
      <c r="Y58">
        <f xml:space="preserve"> VLOOKUP( $X58, Tables!$B$179:$C$186, 2 ) * AB58</f>
        <v>0.16</v>
      </c>
      <c r="Z58">
        <f xml:space="preserve"> LOOKUP( $X58, Tables!$B$179:$B$186, Tables!$A$179:$A$186  )</f>
        <v>9</v>
      </c>
      <c r="AA58">
        <f xml:space="preserve"> IF( $E58&lt;&gt;0, MIN( $E58, $M58-Z58 ), 0 )</f>
        <v>0</v>
      </c>
      <c r="AB58">
        <f xml:space="preserve"> IF( AA58&lt;=-2, 100, IF( AA58&lt;=-1, 10, IF( AA58&gt;=1, 0.5^AA58, 1 )))</f>
        <v>1</v>
      </c>
      <c r="AE58">
        <f xml:space="preserve"> VLOOKUP( M58 +MIN(MAX(0,-E58),2), Tables!$E$179:$G$186, 2 )</f>
        <v>70</v>
      </c>
      <c r="AF58">
        <f>MIN( AE58, VLOOKUP(D58*5,Tables!$F$179:$G$186,1) )</f>
        <v>0</v>
      </c>
      <c r="AG58">
        <f xml:space="preserve"> VLOOKUP( $AF58, Tables!$F$179:$G$186, 2 ) * AJ58</f>
        <v>0</v>
      </c>
      <c r="AH58">
        <f xml:space="preserve"> LOOKUP( $AF58, Tables!$F$179:$F$186, Tables!$E$179:$E$186  )</f>
        <v>0</v>
      </c>
      <c r="AI58">
        <f xml:space="preserve"> IF( $E58&lt;&gt;0, MIN( $E58, $M58-AH58 ), 0 )</f>
        <v>0</v>
      </c>
      <c r="AJ58">
        <f xml:space="preserve"> IF( AI58&lt;=-2, 100, IF( AI58&lt;=-1, 10, IF( AI58&gt;=1, 0.5^AI58, 1 )))</f>
        <v>1</v>
      </c>
      <c r="AL58" s="44" t="str">
        <f>C58</f>
        <v/>
      </c>
      <c r="AM58" s="46">
        <f xml:space="preserve"> VLOOKUP( $C58, Tables!$B$190:$C$193, 2, 0 )</f>
        <v>0</v>
      </c>
      <c r="AO58">
        <f xml:space="preserve"> IF( F58&gt;=Tables!$F$180, AI58, AA58 )</f>
        <v>0</v>
      </c>
      <c r="AP58">
        <f xml:space="preserve"> IF( AO58&lt;=-2, 100, IF( AO58&lt;=-1, 10, IF( AO58&gt;=1, 0.5^AO58, 1 )))</f>
        <v>1</v>
      </c>
      <c r="AQ58" t="str">
        <f xml:space="preserve"> IF( AO58&lt;=-1, " Prototech",IF( AO58&gt;=1, " Retrotech", "" ) )</f>
        <v/>
      </c>
      <c r="AR58" s="157">
        <v>0</v>
      </c>
      <c r="AS58" s="156">
        <v>0</v>
      </c>
      <c r="AT58" s="156">
        <v>0</v>
      </c>
      <c r="AU58" s="156">
        <f xml:space="preserve"> G58</f>
        <v>1</v>
      </c>
    </row>
    <row r="59" spans="1:47" ht="13" customHeight="1">
      <c r="A59" t="s">
        <v>398</v>
      </c>
      <c r="B59" s="21" t="str">
        <f xml:space="preserve"> IF( D59&gt;0, CONCATENATE(IF(F59&lt;40,"m/","CORE/"),F59,AL59, AQ59), "" )</f>
        <v>m/5/bis</v>
      </c>
      <c r="C59" s="42" t="str">
        <f xml:space="preserve"> IF( AND( D59&gt;0, F59&lt;5*$F$39), Tables!$B$191, Tables!$B$190 )</f>
        <v>/bis</v>
      </c>
      <c r="D59" s="14">
        <f>MAX(0,ROUNDDOWN(F58/5-1,0))</f>
        <v>1</v>
      </c>
      <c r="E59" s="42">
        <v>0</v>
      </c>
      <c r="F59" s="4">
        <f xml:space="preserve"> MAX( X59, AF59 )</f>
        <v>5</v>
      </c>
      <c r="G59" s="3">
        <f>1*(D59&gt;0)</f>
        <v>1</v>
      </c>
      <c r="H59" s="69"/>
      <c r="I59" s="69">
        <f>G59*IF(F59&lt;=35,Y59,AG59)*(1+AM59)</f>
        <v>4.4999999999999998E-2</v>
      </c>
      <c r="J59" s="69"/>
      <c r="K59" s="3"/>
      <c r="L59" s="3"/>
      <c r="M59" s="106">
        <f t="shared" si="4"/>
        <v>12</v>
      </c>
      <c r="U59" s="69">
        <f t="shared" si="3"/>
        <v>0</v>
      </c>
      <c r="V59" s="69"/>
      <c r="W59">
        <f xml:space="preserve"> VLOOKUP( M59+MIN(MAX(0,-E59),2), Tables!$A$179:$C$186, 2 )</f>
        <v>20</v>
      </c>
      <c r="X59">
        <f>MIN( $W59, VLOOKUP(D59*5,Tables!$B$179:$C$186,1) )</f>
        <v>5</v>
      </c>
      <c r="Y59">
        <f xml:space="preserve"> VLOOKUP( $X59, Tables!$B$179:$C$186, 2 ) * AB59</f>
        <v>0.03</v>
      </c>
      <c r="Z59">
        <f xml:space="preserve"> LOOKUP( $X59, Tables!$B$179:$B$186, Tables!$A$179:$A$186  )</f>
        <v>7</v>
      </c>
      <c r="AA59">
        <f xml:space="preserve"> IF( $E59&lt;&gt;0, MIN( $E59, $M59-Z59 ), 0 )</f>
        <v>0</v>
      </c>
      <c r="AB59">
        <f xml:space="preserve"> IF( AA59&lt;=-2, 100, IF( AA59&lt;=-1, 10, IF( AA59&gt;=1, 0.5^AA59, 1 )))</f>
        <v>1</v>
      </c>
      <c r="AE59">
        <f xml:space="preserve"> VLOOKUP( M59 +MIN(MAX(0,-E59),2), Tables!$E$179:$G$186, 2 )</f>
        <v>70</v>
      </c>
      <c r="AF59">
        <f>MIN( AE59, VLOOKUP(D59*5,Tables!$F$179:$G$186,1) )</f>
        <v>0</v>
      </c>
      <c r="AG59">
        <f xml:space="preserve"> VLOOKUP( $AF59, Tables!$F$179:$G$186, 2 ) * AJ59</f>
        <v>0</v>
      </c>
      <c r="AH59">
        <f xml:space="preserve"> LOOKUP( $AF59, Tables!$F$179:$F$186, Tables!$E$179:$E$186  )</f>
        <v>0</v>
      </c>
      <c r="AI59">
        <f xml:space="preserve"> IF( $E59&lt;&gt;0, MIN( $E59, $M59-AH59 ), 0 )</f>
        <v>0</v>
      </c>
      <c r="AJ59">
        <f xml:space="preserve"> IF( AI59&lt;=-2, 100, IF( AI59&lt;=-1, 10, IF( AI59&gt;=1, 0.5^AI59, 1 )))</f>
        <v>1</v>
      </c>
      <c r="AL59" s="44" t="str">
        <f>C59</f>
        <v>/bis</v>
      </c>
      <c r="AM59" s="109">
        <f xml:space="preserve"> VLOOKUP( $C59, Tables!$B$190:$C$193, 2, 0 )</f>
        <v>0.5</v>
      </c>
      <c r="AO59">
        <f xml:space="preserve"> IF( F59&gt;=Tables!$F$180, AI59, AA59 )</f>
        <v>0</v>
      </c>
      <c r="AP59">
        <f xml:space="preserve"> IF( AO59&lt;=-2, 100, IF( AO59&lt;=-1, 10, IF( AO59&gt;=1, 0.5^AO59, 1 )))</f>
        <v>1</v>
      </c>
      <c r="AQ59" t="str">
        <f xml:space="preserve"> IF( AO59&lt;=-1, " Prototech",IF( AO59&gt;=1, " Retrotech", "" ) )</f>
        <v/>
      </c>
      <c r="AR59" s="157">
        <v>0</v>
      </c>
      <c r="AS59" s="156">
        <v>0</v>
      </c>
      <c r="AT59" s="156">
        <v>0</v>
      </c>
      <c r="AU59" s="156">
        <f xml:space="preserve"> G59</f>
        <v>1</v>
      </c>
    </row>
    <row r="60" spans="1:47" ht="13" customHeight="1">
      <c r="B60" s="21"/>
      <c r="C60" s="80"/>
      <c r="D60" s="3"/>
      <c r="E60" s="41"/>
      <c r="F60" s="4"/>
      <c r="G60" s="3"/>
      <c r="H60" s="69"/>
      <c r="I60" s="69"/>
      <c r="J60" s="69"/>
      <c r="K60" s="3"/>
      <c r="L60" s="3"/>
      <c r="M60" s="106"/>
      <c r="U60" s="69">
        <f t="shared" si="3"/>
        <v>0</v>
      </c>
      <c r="V60" s="69">
        <f t="shared" si="5"/>
        <v>0</v>
      </c>
      <c r="X60" s="12"/>
      <c r="AE60" t="s">
        <v>883</v>
      </c>
      <c r="AF60" t="s">
        <v>884</v>
      </c>
      <c r="AG60" t="s">
        <v>885</v>
      </c>
      <c r="AJ60" t="s">
        <v>725</v>
      </c>
    </row>
    <row r="61" spans="1:47" ht="13" customHeight="1">
      <c r="A61" s="68" t="s">
        <v>724</v>
      </c>
      <c r="B61" s="21" t="str">
        <f t="shared" ref="B61:B65" si="32">X61</f>
        <v>Civilian</v>
      </c>
      <c r="C61" s="80"/>
      <c r="D61" s="14">
        <v>1</v>
      </c>
      <c r="E61" s="41"/>
      <c r="F61" s="4">
        <f>MIN(N(D61),W61)</f>
        <v>1</v>
      </c>
      <c r="G61" s="3">
        <v>1</v>
      </c>
      <c r="H61" s="69">
        <f>G61*Y61</f>
        <v>1</v>
      </c>
      <c r="I61" s="69">
        <f>G61*Z61</f>
        <v>3</v>
      </c>
      <c r="J61" s="69">
        <f>AA61</f>
        <v>1</v>
      </c>
      <c r="K61" s="3"/>
      <c r="L61" s="3"/>
      <c r="M61" s="106">
        <f t="shared" si="4"/>
        <v>12</v>
      </c>
      <c r="N61" s="125">
        <f xml:space="preserve"> AE61 + MAX( $AG$60:$AG$67 )</f>
        <v>-2</v>
      </c>
      <c r="U61" s="69">
        <f t="shared" si="3"/>
        <v>1.5</v>
      </c>
      <c r="V61" s="69">
        <f t="shared" si="5"/>
        <v>0</v>
      </c>
      <c r="W61">
        <f>VLOOKUP(M61,Tables!$A$271:$G$275,2)</f>
        <v>3</v>
      </c>
      <c r="X61" t="str">
        <f>VLOOKUP($F61,Tables!$B$271:$G$275,2)</f>
        <v>Civilian</v>
      </c>
      <c r="Y61">
        <f>VLOOKUP($F61,Tables!$B$271:$G$275,3)</f>
        <v>1</v>
      </c>
      <c r="Z61">
        <f>VLOOKUP($F61,Tables!$B$271:$G$275,4)</f>
        <v>3</v>
      </c>
      <c r="AA61">
        <f>VLOOKUP($F61,Tables!$B$271:$G$275,5)</f>
        <v>1</v>
      </c>
      <c r="AB61">
        <f>VLOOKUP($F61,Tables!$B$271:$G$275,6)</f>
        <v>-2</v>
      </c>
      <c r="AE61">
        <f>AB61</f>
        <v>-2</v>
      </c>
      <c r="AJ61" t="str">
        <f xml:space="preserve"> CONCATENATE( B61 &amp; IF(B61&lt;&gt;""," ","") &amp; A61 )</f>
        <v>Civilian Sensor</v>
      </c>
    </row>
    <row r="62" spans="1:47" ht="13" customHeight="1">
      <c r="A62" t="s">
        <v>145</v>
      </c>
      <c r="B62" s="21" t="str">
        <f t="shared" si="32"/>
        <v>None</v>
      </c>
      <c r="C62" s="80"/>
      <c r="D62" s="14">
        <v>0</v>
      </c>
      <c r="E62" s="41"/>
      <c r="F62" s="4">
        <f>MIN(N(D62),W62,5-3*(Hull&lt;5000))</f>
        <v>0</v>
      </c>
      <c r="G62" s="71">
        <f t="shared" ref="G62:G64" si="33">1*(D62&gt;0)</f>
        <v>0</v>
      </c>
      <c r="H62" s="69">
        <f>G62*MAX( 1, IFERROR(H61/G61,1) )*(Y62-1)</f>
        <v>0</v>
      </c>
      <c r="I62" s="69">
        <f>G62*MAX( 1, I61/G61 )*(Z62-1)</f>
        <v>0</v>
      </c>
      <c r="J62" s="69">
        <f xml:space="preserve"> G62 * J61 * AA62</f>
        <v>0</v>
      </c>
      <c r="K62" s="3"/>
      <c r="L62" s="3"/>
      <c r="M62" s="106">
        <f t="shared" si="4"/>
        <v>12</v>
      </c>
      <c r="U62" s="69">
        <f t="shared" si="3"/>
        <v>0</v>
      </c>
      <c r="V62" s="69">
        <f t="shared" si="5"/>
        <v>0</v>
      </c>
      <c r="W62">
        <f>VLOOKUP(M62,Tables!$A$278:$E$281,2)</f>
        <v>3</v>
      </c>
      <c r="X62" t="str">
        <f>VLOOKUP($F62,Tables!$B$278:$E$281,2)</f>
        <v>None</v>
      </c>
      <c r="Y62">
        <f>VLOOKUP($F62,Tables!$B$278:$E$281,3)</f>
        <v>0</v>
      </c>
      <c r="Z62">
        <f>VLOOKUP($F62,Tables!$B$278:$E$281,4)</f>
        <v>0</v>
      </c>
      <c r="AA62">
        <f xml:space="preserve"> VLOOKUP( $F62,Tables!$B$278:$F$281, 5 )</f>
        <v>0</v>
      </c>
      <c r="AJ62" t="str">
        <f xml:space="preserve"> CONCATENATE( B62 &amp; IF(B62&lt;&gt;""," ","") &amp; MID( A62, 5, 20 ) )</f>
        <v>None Array</v>
      </c>
    </row>
    <row r="63" spans="1:47" ht="13" customHeight="1">
      <c r="A63" t="s">
        <v>178</v>
      </c>
      <c r="B63" s="21" t="str">
        <f t="shared" si="32"/>
        <v>None</v>
      </c>
      <c r="C63" s="80"/>
      <c r="D63" s="14">
        <v>0</v>
      </c>
      <c r="E63" s="41"/>
      <c r="F63" s="4">
        <f>1*(D63&gt;0)</f>
        <v>0</v>
      </c>
      <c r="G63" s="24">
        <f t="shared" si="33"/>
        <v>0</v>
      </c>
      <c r="H63" s="69">
        <f>G63*Y63</f>
        <v>0</v>
      </c>
      <c r="I63" s="69">
        <f>H63*Z63</f>
        <v>0</v>
      </c>
      <c r="J63" s="69"/>
      <c r="K63" s="3"/>
      <c r="L63" s="3"/>
      <c r="M63" s="106">
        <f t="shared" si="4"/>
        <v>12</v>
      </c>
      <c r="U63" s="69">
        <f t="shared" si="3"/>
        <v>0</v>
      </c>
      <c r="V63" s="69">
        <f t="shared" si="5"/>
        <v>0</v>
      </c>
      <c r="X63" t="str">
        <f>IF((M63&gt;=10)*(D63&gt;0),"","None")</f>
        <v>None</v>
      </c>
      <c r="Y63">
        <f>IF(M63&gt;=10,MAX(1,Hull*1%),0)</f>
        <v>1</v>
      </c>
      <c r="Z63">
        <f>IF(M63&gt;=10,1,0)</f>
        <v>1</v>
      </c>
      <c r="AJ63" t="str">
        <f t="shared" ref="AJ63:AJ66" si="34" xml:space="preserve"> CONCATENATE( B63 &amp; IF(B63&lt;&gt;""," ","") &amp; A63 )</f>
        <v>None Extension Net</v>
      </c>
    </row>
    <row r="64" spans="1:47" ht="13" customHeight="1">
      <c r="A64" t="s">
        <v>390</v>
      </c>
      <c r="B64" s="21" t="str">
        <f t="shared" si="32"/>
        <v>None</v>
      </c>
      <c r="C64" s="80"/>
      <c r="D64" s="14">
        <v>0</v>
      </c>
      <c r="E64" s="41"/>
      <c r="F64" s="4">
        <f>MIN(N(D64),W64)</f>
        <v>0</v>
      </c>
      <c r="G64" s="3">
        <f t="shared" si="33"/>
        <v>0</v>
      </c>
      <c r="H64" s="69">
        <f>G64*Y64</f>
        <v>0</v>
      </c>
      <c r="I64" s="69">
        <f>G64*Z64</f>
        <v>0</v>
      </c>
      <c r="J64" s="69">
        <f>AA64</f>
        <v>0</v>
      </c>
      <c r="K64" s="3"/>
      <c r="L64" s="3"/>
      <c r="M64" s="106">
        <f t="shared" si="4"/>
        <v>12</v>
      </c>
      <c r="U64" s="69">
        <f t="shared" si="3"/>
        <v>0</v>
      </c>
      <c r="V64" s="69">
        <f t="shared" si="5"/>
        <v>0</v>
      </c>
      <c r="W64">
        <f>VLOOKUP(M64,Tables!$A$284:$G$286,2)</f>
        <v>1</v>
      </c>
      <c r="X64" t="str">
        <f>VLOOKUP($F64,Tables!$B$284:$G$286,2)</f>
        <v>None</v>
      </c>
      <c r="Y64">
        <f>VLOOKUP($F64,Tables!$B$284:$G$286,3)</f>
        <v>0</v>
      </c>
      <c r="Z64">
        <f>VLOOKUP($F64,Tables!$B$284:$G$286,4)</f>
        <v>0</v>
      </c>
      <c r="AA64">
        <f>VLOOKUP($F64,Tables!$B$284:$G$286,5)</f>
        <v>0</v>
      </c>
      <c r="AB64">
        <f>VLOOKUP($F64,Tables!$B$284:$G$286,6)</f>
        <v>0</v>
      </c>
      <c r="AG64">
        <f>AB64</f>
        <v>0</v>
      </c>
      <c r="AJ64" t="str">
        <f t="shared" si="34"/>
        <v>None Signal Processor</v>
      </c>
    </row>
    <row r="65" spans="1:46" ht="13" customHeight="1">
      <c r="A65" t="s">
        <v>863</v>
      </c>
      <c r="B65" s="21" t="str">
        <f t="shared" si="32"/>
        <v>None</v>
      </c>
      <c r="C65" s="80"/>
      <c r="D65" s="14">
        <v>0</v>
      </c>
      <c r="E65" s="41"/>
      <c r="F65" s="4">
        <f>MIN(N(D65),W65)</f>
        <v>0</v>
      </c>
      <c r="G65" s="71">
        <f t="shared" ref="G65" si="35">1*(D65&gt;0)*(Z65&gt;0)</f>
        <v>0</v>
      </c>
      <c r="H65" s="69">
        <f>G65*Y65</f>
        <v>0</v>
      </c>
      <c r="I65" s="69">
        <f>G65*Z65</f>
        <v>0</v>
      </c>
      <c r="J65" s="69">
        <f>AA65</f>
        <v>0</v>
      </c>
      <c r="K65" s="3"/>
      <c r="L65" s="3"/>
      <c r="M65" s="106">
        <f t="shared" si="4"/>
        <v>12</v>
      </c>
      <c r="N65" s="125">
        <f xml:space="preserve"> MAX( AF65, MAX( $AE$60:$AE$67 ) ) + MAX( $AG$60:$AG$67 )</f>
        <v>-2</v>
      </c>
      <c r="U65" s="69">
        <f t="shared" si="3"/>
        <v>0</v>
      </c>
      <c r="V65" s="69">
        <f t="shared" si="5"/>
        <v>0</v>
      </c>
      <c r="W65">
        <f>VLOOKUP(M65,Tables!$A$289:$G$291,2)</f>
        <v>0</v>
      </c>
      <c r="X65" t="str">
        <f>VLOOKUP($F65,Tables!$B$289:$G$291,2)</f>
        <v>None</v>
      </c>
      <c r="Y65">
        <f>VLOOKUP($F65,Tables!$B$289:$G$291,3)</f>
        <v>0</v>
      </c>
      <c r="Z65">
        <f>VLOOKUP($F65,Tables!$B$289:$G$291,4)</f>
        <v>0</v>
      </c>
      <c r="AA65">
        <f>VLOOKUP($F65,Tables!$B$289:$G$291,5)</f>
        <v>0</v>
      </c>
      <c r="AB65">
        <f>VLOOKUP($F65,Tables!$B$289:$G$291,6)</f>
        <v>-9</v>
      </c>
      <c r="AF65">
        <f>AB65</f>
        <v>-9</v>
      </c>
      <c r="AJ65" t="str">
        <f t="shared" si="34"/>
        <v>None Countermeasures Suite</v>
      </c>
    </row>
    <row r="66" spans="1:46" ht="13" customHeight="1">
      <c r="A66" s="33" t="s">
        <v>262</v>
      </c>
      <c r="B66" s="21"/>
      <c r="C66" s="80"/>
      <c r="D66" s="33">
        <v>0</v>
      </c>
      <c r="E66" s="44"/>
      <c r="F66" s="4"/>
      <c r="G66" s="71">
        <f xml:space="preserve"> IF( M66&gt;=W66, D66, 0 )</f>
        <v>0</v>
      </c>
      <c r="H66" s="69">
        <f xml:space="preserve"> G66 * Y66</f>
        <v>0</v>
      </c>
      <c r="I66" s="69">
        <f>G66 * Z66</f>
        <v>0</v>
      </c>
      <c r="J66" s="69">
        <f xml:space="preserve"> G66 * AA66</f>
        <v>0</v>
      </c>
      <c r="K66" s="71"/>
      <c r="L66" s="71">
        <f xml:space="preserve"> G66 * AC66</f>
        <v>0</v>
      </c>
      <c r="M66" s="106">
        <f t="shared" si="4"/>
        <v>12</v>
      </c>
      <c r="N66" t="str">
        <f xml:space="preserve"> X66</f>
        <v/>
      </c>
      <c r="U66" s="69"/>
      <c r="V66" s="69">
        <f t="shared" ref="V66" si="36" xml:space="preserve"> (C66&gt;0) * H66 * 10%</f>
        <v>0</v>
      </c>
      <c r="W66">
        <f xml:space="preserve"> VLOOKUP( $A66, Tables!$A$306:$F$318, 2, 0 )</f>
        <v>10</v>
      </c>
      <c r="X66" t="str">
        <f xml:space="preserve"> VLOOKUP( $A66, Tables!$A$306:$F$318, 3, 0 )</f>
        <v/>
      </c>
      <c r="Y66">
        <f xml:space="preserve"> VLOOKUP( $A66, Tables!$A$306:$F$318, 4, 0 )</f>
        <v>10</v>
      </c>
      <c r="Z66">
        <f xml:space="preserve"> VLOOKUP( $A66, Tables!$A$306:$F$318, 5, 0 )</f>
        <v>5</v>
      </c>
      <c r="AA66">
        <f xml:space="preserve"> VLOOKUP( $A66, Tables!$A$306:$F$318, 6, 0 )</f>
        <v>1</v>
      </c>
      <c r="AC66">
        <f xml:space="preserve"> VLOOKUP( $A66, Tables!$A$306:$G$318, 7, 0 )</f>
        <v>0</v>
      </c>
      <c r="AJ66" t="str">
        <f t="shared" si="34"/>
        <v>Shallow Penetration Suite</v>
      </c>
    </row>
    <row r="67" spans="1:46" ht="13" customHeight="1">
      <c r="B67" s="21"/>
      <c r="C67" s="80"/>
      <c r="D67" s="3"/>
      <c r="E67" s="41"/>
      <c r="F67" s="4"/>
      <c r="G67" s="3"/>
      <c r="H67" s="69"/>
      <c r="I67" s="69"/>
      <c r="J67" s="69"/>
      <c r="K67" s="3"/>
      <c r="L67" s="3"/>
      <c r="M67" s="106"/>
      <c r="N67" s="1" t="s">
        <v>358</v>
      </c>
      <c r="O67" s="1"/>
      <c r="P67" s="1"/>
      <c r="Q67" s="1"/>
      <c r="R67" s="1"/>
      <c r="S67" s="1"/>
      <c r="T67" s="1"/>
      <c r="U67" s="69">
        <f t="shared" si="3"/>
        <v>0</v>
      </c>
      <c r="V67" s="69">
        <f t="shared" si="5"/>
        <v>0</v>
      </c>
      <c r="X67" s="12"/>
      <c r="AP67" t="s">
        <v>725</v>
      </c>
      <c r="AR67" t="s">
        <v>822</v>
      </c>
      <c r="AT67" s="1" t="s">
        <v>823</v>
      </c>
    </row>
    <row r="68" spans="1:46" ht="13" customHeight="1">
      <c r="A68" t="s">
        <v>688</v>
      </c>
      <c r="B68" s="21"/>
      <c r="C68" s="80"/>
      <c r="D68" s="33">
        <v>0</v>
      </c>
      <c r="E68" s="44"/>
      <c r="F68" s="4"/>
      <c r="G68" s="35">
        <f>D68</f>
        <v>0</v>
      </c>
      <c r="H68" s="69">
        <f>G68*10</f>
        <v>0</v>
      </c>
      <c r="I68" s="69">
        <f>G68*1.5</f>
        <v>0</v>
      </c>
      <c r="J68" s="69"/>
      <c r="K68" s="35"/>
      <c r="L68" s="35"/>
      <c r="M68" s="106"/>
      <c r="N68" s="73">
        <f xml:space="preserve"> H68*(500)+G68*(1000+0*1000*(Double&gt;0))</f>
        <v>0</v>
      </c>
      <c r="O68" s="51"/>
      <c r="P68" s="73"/>
      <c r="Q68" s="73"/>
      <c r="R68" s="73"/>
      <c r="S68" s="73"/>
      <c r="T68" s="73"/>
      <c r="U68" s="69">
        <f t="shared" si="3"/>
        <v>0</v>
      </c>
      <c r="V68" s="69">
        <f t="shared" si="5"/>
        <v>0</v>
      </c>
      <c r="X68" s="46"/>
      <c r="AP68" t="s">
        <v>726</v>
      </c>
      <c r="AT68">
        <v>0</v>
      </c>
    </row>
    <row r="69" spans="1:46">
      <c r="A69" t="s">
        <v>344</v>
      </c>
      <c r="B69" s="21"/>
      <c r="C69" s="80"/>
      <c r="D69" s="33">
        <v>0</v>
      </c>
      <c r="E69" s="44"/>
      <c r="F69" s="4"/>
      <c r="G69" s="35">
        <f>D69</f>
        <v>0</v>
      </c>
      <c r="H69" s="69">
        <f>G69*6</f>
        <v>0</v>
      </c>
      <c r="I69" s="69">
        <f>G69*0.8</f>
        <v>0</v>
      </c>
      <c r="J69" s="69"/>
      <c r="K69" s="35"/>
      <c r="L69" s="35"/>
      <c r="M69" s="106"/>
      <c r="N69" s="73">
        <f>G69*(2000)+G69*(1000+0*1000*(Double&gt;0))</f>
        <v>0</v>
      </c>
      <c r="O69" s="51"/>
      <c r="P69" s="73"/>
      <c r="Q69" s="73"/>
      <c r="R69" s="73"/>
      <c r="S69" s="73"/>
      <c r="T69" s="73"/>
      <c r="U69" s="69">
        <f t="shared" si="3"/>
        <v>0</v>
      </c>
      <c r="V69" s="69">
        <f t="shared" si="5"/>
        <v>0</v>
      </c>
      <c r="X69" s="46"/>
      <c r="AP69" t="s">
        <v>727</v>
      </c>
      <c r="AT69">
        <v>0</v>
      </c>
    </row>
    <row r="70" spans="1:46">
      <c r="A70" s="68" t="s">
        <v>62</v>
      </c>
      <c r="B70" s="140">
        <f xml:space="preserve"> Z70 + AB70</f>
        <v>3</v>
      </c>
      <c r="C70" s="80"/>
      <c r="D70" s="16">
        <f xml:space="preserve"> 1 * (Hull&gt;=100)</f>
        <v>1</v>
      </c>
      <c r="E70" s="41"/>
      <c r="F70" s="4">
        <f xml:space="preserve"> B70 * D70</f>
        <v>3</v>
      </c>
      <c r="G70" s="3">
        <f xml:space="preserve"> ROUNDUP( F70 - SUM(G68:G69,G71/(1+1*(Double&gt;0))), 0 )</f>
        <v>3</v>
      </c>
      <c r="H70" s="69">
        <f>G70*4</f>
        <v>12</v>
      </c>
      <c r="I70" s="69">
        <f>G70*0.5</f>
        <v>1.5</v>
      </c>
      <c r="J70" s="69"/>
      <c r="K70" s="3"/>
      <c r="L70" s="3"/>
      <c r="M70" s="106"/>
      <c r="N70" s="73">
        <f xml:space="preserve"> G70*1000 + MIN( X70-SUM(G68:G71)+G70, G70*2 )*1000</f>
        <v>6000</v>
      </c>
      <c r="O70" s="51"/>
      <c r="P70" s="73"/>
      <c r="Q70" s="73"/>
      <c r="R70" s="73"/>
      <c r="S70" s="73"/>
      <c r="T70" s="73"/>
      <c r="U70" s="69">
        <f t="shared" si="3"/>
        <v>0</v>
      </c>
      <c r="V70" s="69">
        <f t="shared" si="5"/>
        <v>0</v>
      </c>
      <c r="W70" s="1" t="s">
        <v>448</v>
      </c>
      <c r="X70" s="120">
        <f xml:space="preserve"> ROUNDUP( SUM( Crew, D185:D186 ), 0 )</f>
        <v>3</v>
      </c>
      <c r="Y70" s="1" t="s">
        <v>106</v>
      </c>
      <c r="Z70" s="120">
        <f xml:space="preserve"> ROUNDUP(  IF(  Double, D185+D186+D166+ I185,  D185+D186+Crew+I185  ), 0 )</f>
        <v>3</v>
      </c>
      <c r="AA70" s="1" t="s">
        <v>757</v>
      </c>
      <c r="AB70" s="120">
        <f xml:space="preserve"> IF(  Double, (Crew-D166)/2,  0  )</f>
        <v>0</v>
      </c>
      <c r="AL70" s="1" t="s">
        <v>137</v>
      </c>
      <c r="AM70" s="1" t="s">
        <v>138</v>
      </c>
      <c r="AP70" t="s">
        <v>730</v>
      </c>
      <c r="AT70">
        <v>0</v>
      </c>
    </row>
    <row r="71" spans="1:46">
      <c r="A71" s="22" t="s">
        <v>25</v>
      </c>
      <c r="B71" s="21"/>
      <c r="C71" s="80"/>
      <c r="D71" s="33">
        <v>0</v>
      </c>
      <c r="E71" s="44"/>
      <c r="F71" s="4"/>
      <c r="G71" s="35">
        <f>D71</f>
        <v>0</v>
      </c>
      <c r="H71" s="69">
        <f xml:space="preserve"> G71 * Z71 / AL71</f>
        <v>0</v>
      </c>
      <c r="I71" s="69">
        <f xml:space="preserve"> G71 * AA71 / AL71</f>
        <v>0</v>
      </c>
      <c r="J71" s="69">
        <f>G71*AB71</f>
        <v>0</v>
      </c>
      <c r="K71" s="35"/>
      <c r="L71" s="35"/>
      <c r="M71" s="106">
        <f t="shared" si="4"/>
        <v>12</v>
      </c>
      <c r="N71" s="73">
        <f xml:space="preserve"> G71 * AM71 / AL71  +  G71 * 1000</f>
        <v>0</v>
      </c>
      <c r="O71" s="51"/>
      <c r="P71" s="73"/>
      <c r="Q71" s="73"/>
      <c r="R71" s="73"/>
      <c r="S71" s="73"/>
      <c r="T71" s="73"/>
      <c r="U71" s="69">
        <f t="shared" si="3"/>
        <v>0</v>
      </c>
      <c r="V71" s="69">
        <f t="shared" si="5"/>
        <v>0</v>
      </c>
      <c r="X71" s="46"/>
      <c r="Y71">
        <f xml:space="preserve"> VLOOKUP( $A71, Tables!$A$322:$G$358, 2, 0 )</f>
        <v>0</v>
      </c>
      <c r="Z71">
        <f xml:space="preserve"> VLOOKUP( $A71, Tables!$A$322:$G$358, 4, 0 )</f>
        <v>2</v>
      </c>
      <c r="AA71">
        <f xml:space="preserve"> IF( AI71&gt;=M71, AJ71, VLOOKUP( $A71, Tables!$A$322:$G$358, 5, 0 ) )</f>
        <v>0.1</v>
      </c>
      <c r="AB71">
        <f xml:space="preserve"> VLOOKUP( $A71, Tables!$A$322:$G$358, 6, 0 )</f>
        <v>0</v>
      </c>
      <c r="AC71">
        <f xml:space="preserve"> VLOOKUP( $A71, Tables!$A$322:$G$358, 7, 0 )</f>
        <v>0</v>
      </c>
      <c r="AE71">
        <f xml:space="preserve"> IF( AA71&lt;0, AG71, AA71 )</f>
        <v>0.1</v>
      </c>
      <c r="AG71">
        <f xml:space="preserve"> IF( $AA71&lt;0,  VLOOKUP( $M71,Tables!$A$362:$E$366,5), 0 )</f>
        <v>0</v>
      </c>
      <c r="AI71">
        <f xml:space="preserve"> VLOOKUP( $A71, Tables!$A$322:$I$358, 8, 0 )</f>
        <v>0</v>
      </c>
      <c r="AJ71">
        <f xml:space="preserve"> VLOOKUP( $A71, Tables!$A$322:$I$358, 9, 0 )</f>
        <v>0</v>
      </c>
      <c r="AL71">
        <f xml:space="preserve"> VLOOKUP( $A71, Tables!$A$322:$K$358, 10, 0 )</f>
        <v>1</v>
      </c>
      <c r="AM71">
        <f xml:space="preserve"> VLOOKUP( $A71, Tables!$A$322:$K$358, 11, 0 )</f>
        <v>500</v>
      </c>
      <c r="AP71" t="str">
        <f t="shared" ref="AP71" si="37" xml:space="preserve"> A71</f>
        <v>Barracks</v>
      </c>
      <c r="AT71">
        <v>0</v>
      </c>
    </row>
    <row r="72" spans="1:46">
      <c r="A72" t="s">
        <v>731</v>
      </c>
      <c r="B72" s="87"/>
      <c r="C72" s="80"/>
      <c r="D72" s="33">
        <v>0</v>
      </c>
      <c r="E72" s="44"/>
      <c r="F72" s="4">
        <v>0</v>
      </c>
      <c r="G72" s="71">
        <f xml:space="preserve"> MAX( D72, LowPassengers + I186 )</f>
        <v>0</v>
      </c>
      <c r="H72" s="69">
        <f xml:space="preserve"> G72*(0.5+0.5*($B72=$AB72))</f>
        <v>0</v>
      </c>
      <c r="I72" s="69">
        <f xml:space="preserve"> G72*(0.05+0.95*($B72=$AB72))</f>
        <v>0</v>
      </c>
      <c r="J72" s="69">
        <f>ROUNDUP(G72/(10-9*($B72=$AB72)),0)</f>
        <v>0</v>
      </c>
      <c r="K72" s="71"/>
      <c r="L72" s="71"/>
      <c r="M72" s="106"/>
      <c r="N72" s="73">
        <f>G72*100</f>
        <v>0</v>
      </c>
      <c r="U72" s="69">
        <f t="shared" ref="U72" si="38">I72*50%*(J72&gt;0)</f>
        <v>0</v>
      </c>
      <c r="V72" s="69">
        <f t="shared" si="5"/>
        <v>0</v>
      </c>
      <c r="X72" s="109"/>
      <c r="AB72" t="s">
        <v>157</v>
      </c>
      <c r="AP72" t="str">
        <f xml:space="preserve"> CONCATENATE( B72 &amp; IF(B72&lt;&gt;AA72," ","") &amp; "Low Berth" )</f>
        <v>Low Berth</v>
      </c>
      <c r="AT72">
        <v>0</v>
      </c>
    </row>
    <row r="73" spans="1:46">
      <c r="A73" t="s">
        <v>732</v>
      </c>
      <c r="B73" s="21"/>
      <c r="C73" s="80"/>
      <c r="D73" s="16">
        <f xml:space="preserve"> IF( Station&gt;0, 50%, 25% ) * (Hull&gt;=100)</f>
        <v>0.25</v>
      </c>
      <c r="E73" s="44"/>
      <c r="F73" s="13">
        <f>D73</f>
        <v>0.25</v>
      </c>
      <c r="G73" s="71">
        <f>1*(D73&gt;0)</f>
        <v>1</v>
      </c>
      <c r="H73" s="69">
        <f>G73*F73*SUM(H68:H71)</f>
        <v>3</v>
      </c>
      <c r="I73" s="69">
        <f>H73*0.1</f>
        <v>0.30000000000000004</v>
      </c>
      <c r="J73" s="69"/>
      <c r="K73" s="71"/>
      <c r="L73" s="71"/>
      <c r="M73" s="106"/>
      <c r="N73" s="73"/>
      <c r="O73" s="88"/>
      <c r="P73" s="88"/>
      <c r="Q73" s="88"/>
      <c r="R73" s="88"/>
      <c r="S73" s="88"/>
      <c r="T73" s="88"/>
      <c r="U73" s="69">
        <f t="shared" ref="U73:U75" si="39">I73*50%*(J73&gt;0)</f>
        <v>0</v>
      </c>
      <c r="V73" s="69">
        <f t="shared" ref="V73:V75" si="40" xml:space="preserve"> (C73&gt;0) * H73 * 10%</f>
        <v>0</v>
      </c>
      <c r="X73" s="109"/>
      <c r="AO73" s="160">
        <f xml:space="preserve"> ROUNDDOWN( H73, 0 )</f>
        <v>3</v>
      </c>
      <c r="AP73" t="str">
        <f xml:space="preserve"> A73</f>
        <v>Common Areas</v>
      </c>
      <c r="AR73" t="str">
        <f>AP73</f>
        <v>Common Areas</v>
      </c>
      <c r="AT73">
        <v>1</v>
      </c>
    </row>
    <row r="74" spans="1:46">
      <c r="A74" t="s">
        <v>220</v>
      </c>
      <c r="B74" s="119">
        <f xml:space="preserve"> 5 * (D74&gt;0)</f>
        <v>0</v>
      </c>
      <c r="C74" s="80"/>
      <c r="D74" s="33">
        <v>0</v>
      </c>
      <c r="E74" s="44"/>
      <c r="F74" s="13"/>
      <c r="G74" s="71">
        <f>D74</f>
        <v>0</v>
      </c>
      <c r="H74" s="69">
        <f>G74*B74*105%</f>
        <v>0</v>
      </c>
      <c r="I74" s="69">
        <f xml:space="preserve"> H74 / 21 * 0.5</f>
        <v>0</v>
      </c>
      <c r="J74" s="69">
        <f>I74*2</f>
        <v>0</v>
      </c>
      <c r="K74" s="71"/>
      <c r="L74" s="71"/>
      <c r="M74" s="106"/>
      <c r="N74" s="73"/>
      <c r="O74" s="88"/>
      <c r="P74" s="88"/>
      <c r="Q74" s="88"/>
      <c r="R74" s="88"/>
      <c r="S74" s="88"/>
      <c r="T74" s="88"/>
      <c r="U74" s="69"/>
      <c r="V74" s="69"/>
      <c r="X74" s="109"/>
      <c r="AO74" s="160">
        <f t="shared" ref="AO74:AO83" si="41" xml:space="preserve"> ROUNDDOWN( H74, 0 )</f>
        <v>0</v>
      </c>
      <c r="AP74" t="str">
        <f xml:space="preserve"> CONCATENATE( B74 &amp; " Dton "&amp; A74 )</f>
        <v>0 Dton Multi-Environment Space</v>
      </c>
      <c r="AR74" t="str">
        <f xml:space="preserve"> CONCATENATE( AP74 &amp; "s" )</f>
        <v>0 Dton Multi-Environment Spaces</v>
      </c>
      <c r="AT74">
        <v>0</v>
      </c>
    </row>
    <row r="75" spans="1:46">
      <c r="A75" t="s">
        <v>319</v>
      </c>
      <c r="B75" s="21"/>
      <c r="C75" s="80"/>
      <c r="D75" s="33">
        <v>0</v>
      </c>
      <c r="E75" s="44"/>
      <c r="F75" s="13"/>
      <c r="G75" s="71">
        <f>D75</f>
        <v>0</v>
      </c>
      <c r="H75" s="69">
        <f>G75</f>
        <v>0</v>
      </c>
      <c r="I75" s="69">
        <f>H75*0.2</f>
        <v>0</v>
      </c>
      <c r="J75" s="69">
        <f>H75</f>
        <v>0</v>
      </c>
      <c r="K75" s="71"/>
      <c r="L75" s="71"/>
      <c r="M75" s="106"/>
      <c r="N75" s="73">
        <f xml:space="preserve"> - MIN( G75*2000, X70*1000 )</f>
        <v>0</v>
      </c>
      <c r="O75" s="50"/>
      <c r="P75" s="50"/>
      <c r="Q75" s="50"/>
      <c r="R75" s="50"/>
      <c r="S75" s="50"/>
      <c r="T75" s="50"/>
      <c r="U75" s="69">
        <f t="shared" si="39"/>
        <v>0</v>
      </c>
      <c r="V75" s="69">
        <f t="shared" si="40"/>
        <v>0</v>
      </c>
      <c r="X75" s="109"/>
      <c r="AO75" s="160">
        <f t="shared" si="41"/>
        <v>0</v>
      </c>
      <c r="AP75" t="str">
        <f t="shared" ref="AP75:AP83" si="42" xml:space="preserve"> A75</f>
        <v>Biosphere / Hydroponic Garden</v>
      </c>
      <c r="AR75" t="str">
        <f>AP75</f>
        <v>Biosphere / Hydroponic Garden</v>
      </c>
      <c r="AT75">
        <v>1</v>
      </c>
    </row>
    <row r="76" spans="1:46">
      <c r="A76" t="s">
        <v>734</v>
      </c>
      <c r="B76" s="21"/>
      <c r="C76" s="80"/>
      <c r="D76" s="33">
        <f xml:space="preserve"> ( AD76 ) * (Hull&gt;=100)</f>
        <v>6</v>
      </c>
      <c r="E76" s="44"/>
      <c r="F76" s="13"/>
      <c r="G76" s="35">
        <f>D76</f>
        <v>6</v>
      </c>
      <c r="H76" s="69">
        <f>G76*0.5</f>
        <v>3</v>
      </c>
      <c r="I76" s="69">
        <f>G76*0.02</f>
        <v>0.12</v>
      </c>
      <c r="J76" s="69"/>
      <c r="K76" s="35"/>
      <c r="L76" s="35"/>
      <c r="M76" s="106">
        <f t="shared" si="4"/>
        <v>12</v>
      </c>
      <c r="N76" s="73"/>
      <c r="O76" s="51"/>
      <c r="P76" s="73"/>
      <c r="Q76" s="73"/>
      <c r="R76" s="73"/>
      <c r="S76" s="73"/>
      <c r="T76" s="73"/>
      <c r="U76" s="69">
        <f t="shared" si="3"/>
        <v>0</v>
      </c>
      <c r="V76" s="69">
        <f t="shared" si="5"/>
        <v>0</v>
      </c>
      <c r="W76" t="s">
        <v>613</v>
      </c>
      <c r="X76">
        <f xml:space="preserve"> SUM(G68:G70)*2 + G71</f>
        <v>6</v>
      </c>
      <c r="Z76" s="1" t="s">
        <v>614</v>
      </c>
      <c r="AA76">
        <f xml:space="preserve"> SUM( AK132:AK137 )</f>
        <v>0</v>
      </c>
      <c r="AC76" t="s">
        <v>446</v>
      </c>
      <c r="AD76">
        <f xml:space="preserve"> MAX( 0, X76 - AA76 )</f>
        <v>6</v>
      </c>
      <c r="AO76" s="160">
        <f t="shared" si="41"/>
        <v>3</v>
      </c>
      <c r="AP76" t="str">
        <f t="shared" si="42"/>
        <v>Escape Capsule</v>
      </c>
      <c r="AR76" t="str">
        <f t="shared" ref="AR76:AR78" si="43" xml:space="preserve"> CONCATENATE( AP76 &amp; "s" )</f>
        <v>Escape Capsules</v>
      </c>
      <c r="AT76">
        <v>0</v>
      </c>
    </row>
    <row r="77" spans="1:46">
      <c r="A77" t="s">
        <v>520</v>
      </c>
      <c r="B77" s="21"/>
      <c r="C77" s="80"/>
      <c r="D77" s="33">
        <f xml:space="preserve"> 1 * (Hull&gt;=100) * (M77&gt;=13) * ROUNDUP( SUM(Crew,D185:D187)/100, 0 )</f>
        <v>0</v>
      </c>
      <c r="E77" s="44"/>
      <c r="F77" s="4"/>
      <c r="G77" s="71">
        <f xml:space="preserve"> D77 * ( M77&gt;=13 )</f>
        <v>0</v>
      </c>
      <c r="H77" s="69">
        <f xml:space="preserve"> MAX( 0, G77-G78 ) * 0.5</f>
        <v>0</v>
      </c>
      <c r="I77" s="69">
        <f>G77 * IF( M77&gt;=14, 1, 0.1 )</f>
        <v>0</v>
      </c>
      <c r="J77" s="69"/>
      <c r="K77" s="71"/>
      <c r="L77" s="71"/>
      <c r="M77" s="106">
        <f t="shared" ref="M77:M131" si="44">TL</f>
        <v>12</v>
      </c>
      <c r="N77" s="73"/>
      <c r="U77" s="69"/>
      <c r="V77" s="69"/>
      <c r="X77" s="86"/>
      <c r="AO77" s="160">
        <f t="shared" si="41"/>
        <v>0</v>
      </c>
      <c r="AP77" t="str">
        <f t="shared" si="42"/>
        <v>Autodoc</v>
      </c>
      <c r="AR77" t="str">
        <f t="shared" si="43"/>
        <v>Autodocs</v>
      </c>
      <c r="AT77">
        <v>0</v>
      </c>
    </row>
    <row r="78" spans="1:46">
      <c r="A78" t="s">
        <v>369</v>
      </c>
      <c r="B78" s="58">
        <f xml:space="preserve"> G78 * 5 / MAX(1,Crew+HighPassengers+MidPassengers)</f>
        <v>0</v>
      </c>
      <c r="C78" s="80"/>
      <c r="D78" s="14">
        <f xml:space="preserve"> ROUNDUP(  IF( Military&gt;0, (Crew+D185+D186)*10%/5, (SUM(G68:G71)&gt;=10)*(SUM(G68:G71)*(1+1*(Double&gt;0))*5%/5) ), 0 ) *(Hull&gt;=100)</f>
        <v>0</v>
      </c>
      <c r="E78" s="41"/>
      <c r="F78" s="32"/>
      <c r="G78" s="24">
        <f xml:space="preserve"> MAX( 0, D78 )</f>
        <v>0</v>
      </c>
      <c r="H78" s="69">
        <f>G78*4</f>
        <v>0</v>
      </c>
      <c r="I78" s="69">
        <f>G78*2</f>
        <v>0</v>
      </c>
      <c r="J78" s="69"/>
      <c r="K78" s="3"/>
      <c r="L78" s="3"/>
      <c r="M78" s="106">
        <f t="shared" si="44"/>
        <v>12</v>
      </c>
      <c r="N78" t="s">
        <v>639</v>
      </c>
      <c r="U78" s="69">
        <f t="shared" si="3"/>
        <v>0</v>
      </c>
      <c r="V78" s="69">
        <f t="shared" ref="V78:V144" si="45" xml:space="preserve"> (C78&gt;0) * H78 * 10%</f>
        <v>0</v>
      </c>
      <c r="X78" s="12"/>
      <c r="AO78" s="160">
        <f t="shared" si="41"/>
        <v>0</v>
      </c>
      <c r="AP78" t="str">
        <f t="shared" si="42"/>
        <v>Medical Bay</v>
      </c>
      <c r="AR78" t="str">
        <f t="shared" si="43"/>
        <v>Medical Bays</v>
      </c>
      <c r="AT78">
        <v>0</v>
      </c>
    </row>
    <row r="79" spans="1:46">
      <c r="A79" t="s">
        <v>602</v>
      </c>
      <c r="B79" s="60">
        <f xml:space="preserve"> ROUNDUP( (Crew/25+D181/5), 0 )*(Military&gt;0)*(Hull&gt;=100)</f>
        <v>0</v>
      </c>
      <c r="C79" s="80"/>
      <c r="D79" s="14">
        <f xml:space="preserve"> B79</f>
        <v>0</v>
      </c>
      <c r="E79" s="41"/>
      <c r="F79" s="4"/>
      <c r="G79" s="71">
        <f xml:space="preserve"> MAX( 0, D79 )</f>
        <v>0</v>
      </c>
      <c r="H79" s="69">
        <f>G79*1</f>
        <v>0</v>
      </c>
      <c r="I79" s="69">
        <f>G79*0.25</f>
        <v>0</v>
      </c>
      <c r="J79" s="69"/>
      <c r="K79" s="3"/>
      <c r="L79" s="3"/>
      <c r="M79" s="106"/>
      <c r="N79" s="1" t="s">
        <v>358</v>
      </c>
      <c r="U79" s="69">
        <f t="shared" si="3"/>
        <v>0</v>
      </c>
      <c r="V79" s="69">
        <f t="shared" si="45"/>
        <v>0</v>
      </c>
      <c r="X79" s="12"/>
      <c r="AO79" s="160">
        <f t="shared" si="41"/>
        <v>0</v>
      </c>
      <c r="AP79" t="str">
        <f t="shared" si="42"/>
        <v>Armoury</v>
      </c>
      <c r="AR79" t="str">
        <f>AP79</f>
        <v>Armoury</v>
      </c>
      <c r="AT79">
        <v>1</v>
      </c>
    </row>
    <row r="80" spans="1:46">
      <c r="A80" t="s">
        <v>618</v>
      </c>
      <c r="B80" s="21"/>
      <c r="C80" s="80"/>
      <c r="D80" s="14">
        <f>ROUNDUP(D181/10,0)</f>
        <v>0</v>
      </c>
      <c r="E80" s="41"/>
      <c r="F80" s="4"/>
      <c r="G80" s="44">
        <f xml:space="preserve"> ROUNDUP( D80,0) * (M80&gt;=10)</f>
        <v>0</v>
      </c>
      <c r="H80" s="69">
        <f>G80*2</f>
        <v>0</v>
      </c>
      <c r="I80" s="69">
        <f>H80*0.2</f>
        <v>0</v>
      </c>
      <c r="J80" s="69">
        <f>H80</f>
        <v>0</v>
      </c>
      <c r="K80" s="24"/>
      <c r="L80" s="24"/>
      <c r="M80" s="106">
        <f t="shared" si="44"/>
        <v>12</v>
      </c>
      <c r="N80" s="88">
        <f xml:space="preserve"> SUM( N67:N79 )</f>
        <v>6000</v>
      </c>
      <c r="U80" s="69">
        <f t="shared" si="3"/>
        <v>0</v>
      </c>
      <c r="V80" s="69">
        <f t="shared" si="45"/>
        <v>0</v>
      </c>
      <c r="X80" s="26"/>
      <c r="Z80" s="1" t="s">
        <v>648</v>
      </c>
      <c r="AA80" s="1" t="s">
        <v>649</v>
      </c>
      <c r="AB80" s="1" t="s">
        <v>709</v>
      </c>
      <c r="AC80" s="1" t="s">
        <v>378</v>
      </c>
      <c r="AE80" s="1" t="s">
        <v>45</v>
      </c>
      <c r="AG80" s="1" t="s">
        <v>162</v>
      </c>
      <c r="AI80" s="1" t="s">
        <v>392</v>
      </c>
      <c r="AJ80" s="1" t="s">
        <v>393</v>
      </c>
      <c r="AM80" t="s">
        <v>881</v>
      </c>
      <c r="AO80" s="160">
        <f t="shared" si="41"/>
        <v>0</v>
      </c>
      <c r="AP80" t="str">
        <f t="shared" si="42"/>
        <v>Troop Training Facility</v>
      </c>
      <c r="AR80" t="s">
        <v>824</v>
      </c>
      <c r="AT80">
        <v>1</v>
      </c>
    </row>
    <row r="81" spans="1:59">
      <c r="A81" s="22" t="s">
        <v>118</v>
      </c>
      <c r="B81" s="21"/>
      <c r="C81" s="80"/>
      <c r="D81" s="33">
        <v>0</v>
      </c>
      <c r="E81" s="44"/>
      <c r="F81" s="4"/>
      <c r="G81" s="44">
        <f xml:space="preserve"> ROUNDUP( D81,0) * (M81&gt;=Y81)</f>
        <v>0</v>
      </c>
      <c r="H81" s="69">
        <f>G81*Z81</f>
        <v>0</v>
      </c>
      <c r="I81" s="69">
        <f>G81*AE81</f>
        <v>0</v>
      </c>
      <c r="J81" s="69">
        <f>G81*AB81</f>
        <v>0</v>
      </c>
      <c r="K81" s="71"/>
      <c r="L81" s="71">
        <f>G81*AC81</f>
        <v>0</v>
      </c>
      <c r="M81" s="106">
        <f t="shared" si="44"/>
        <v>12</v>
      </c>
      <c r="N81" t="str">
        <f xml:space="preserve"> AM81</f>
        <v/>
      </c>
      <c r="U81" s="69">
        <f t="shared" ref="U81:U82" si="46">I81*50%*(J81&gt;0)</f>
        <v>0</v>
      </c>
      <c r="V81" s="69">
        <f t="shared" si="45"/>
        <v>0</v>
      </c>
      <c r="X81" s="46"/>
      <c r="Y81">
        <f xml:space="preserve"> VLOOKUP( $A81, Tables!$A$322:$G$358, 2, 0 )</f>
        <v>0</v>
      </c>
      <c r="Z81">
        <f xml:space="preserve"> VLOOKUP( $A81, Tables!$A$322:$G$358, 4, 0 )</f>
        <v>4</v>
      </c>
      <c r="AA81">
        <f xml:space="preserve"> IF( AI81&gt;=M81, AJ81, VLOOKUP( $A81, Tables!$A$322:$G$358, 5, 0 ) )</f>
        <v>0.5</v>
      </c>
      <c r="AB81">
        <f xml:space="preserve"> VLOOKUP( $A81, Tables!$A$322:$G$358, 6, 0 )</f>
        <v>0</v>
      </c>
      <c r="AC81">
        <f xml:space="preserve"> VLOOKUP( $A81, Tables!$A$322:$G$358, 7, 0 )</f>
        <v>0</v>
      </c>
      <c r="AE81">
        <f xml:space="preserve"> IF( AA81&lt;0, AG81, AA81 )</f>
        <v>0.5</v>
      </c>
      <c r="AG81">
        <f xml:space="preserve"> IF( $AA81&lt;0,  VLOOKUP( $M81,Tables!$A$362:$E$366,5), 0 )</f>
        <v>0</v>
      </c>
      <c r="AI81">
        <f xml:space="preserve"> VLOOKUP( $A81, Tables!$A$322:$I$358, 8, 0 )</f>
        <v>0</v>
      </c>
      <c r="AJ81">
        <f xml:space="preserve"> VLOOKUP( $A81, Tables!$A$322:$I$358, 9, 0 )</f>
        <v>0</v>
      </c>
      <c r="AM81" t="str">
        <f xml:space="preserve"> VLOOKUP( $A81, Tables!$A$322:$L$358, 12, 0 )</f>
        <v/>
      </c>
      <c r="AO81" s="160">
        <f t="shared" si="41"/>
        <v>0</v>
      </c>
      <c r="AP81" t="str">
        <f t="shared" si="42"/>
        <v>Briefing Room</v>
      </c>
      <c r="AR81" t="str">
        <f xml:space="preserve"> VLOOKUP( $A81, Tables!$A$322:$M$358, 3, 0 )</f>
        <v>Briefing Rooms</v>
      </c>
      <c r="AT81">
        <f xml:space="preserve"> VLOOKUP( $A81, Tables!$A$322:$M$358, 13, 0 )</f>
        <v>0</v>
      </c>
    </row>
    <row r="82" spans="1:59">
      <c r="A82" s="22" t="s">
        <v>774</v>
      </c>
      <c r="B82" s="21"/>
      <c r="C82" s="80"/>
      <c r="D82" s="33">
        <v>0</v>
      </c>
      <c r="E82" s="44"/>
      <c r="F82" s="4"/>
      <c r="G82" s="44">
        <f t="shared" ref="G82:G83" si="47" xml:space="preserve"> ROUNDUP( D82,0) * (M82&gt;=Y82)</f>
        <v>0</v>
      </c>
      <c r="H82" s="69">
        <f>G82*Z82</f>
        <v>0</v>
      </c>
      <c r="I82" s="69">
        <f t="shared" ref="I82:I83" si="48">G82*AE82</f>
        <v>0</v>
      </c>
      <c r="J82" s="69">
        <f>G82*AB82</f>
        <v>0</v>
      </c>
      <c r="K82" s="71"/>
      <c r="L82" s="71">
        <f>G82*AC82</f>
        <v>0</v>
      </c>
      <c r="M82" s="106">
        <f t="shared" si="44"/>
        <v>12</v>
      </c>
      <c r="N82" t="str">
        <f t="shared" ref="N82:N83" si="49" xml:space="preserve"> AM82</f>
        <v/>
      </c>
      <c r="U82" s="69">
        <f t="shared" si="46"/>
        <v>0</v>
      </c>
      <c r="V82" s="69">
        <f t="shared" si="45"/>
        <v>0</v>
      </c>
      <c r="X82" s="46"/>
      <c r="Y82">
        <f xml:space="preserve"> VLOOKUP( $A82, Tables!$A$322:$G$358, 2, 0 )</f>
        <v>8</v>
      </c>
      <c r="Z82">
        <f xml:space="preserve"> VLOOKUP( $A82, Tables!$A$322:$G$358, 4, 0 )</f>
        <v>4</v>
      </c>
      <c r="AA82">
        <f xml:space="preserve"> IF( AI82&gt;=M82, AJ82, VLOOKUP( $A82, Tables!$A$322:$G$358, 5, 0 ) )</f>
        <v>4</v>
      </c>
      <c r="AB82">
        <f xml:space="preserve"> VLOOKUP( $A82, Tables!$A$322:$G$358, 6, 0 )</f>
        <v>0</v>
      </c>
      <c r="AC82">
        <f xml:space="preserve"> VLOOKUP( $A82, Tables!$A$322:$G$358, 7, 0 )</f>
        <v>0</v>
      </c>
      <c r="AE82">
        <f t="shared" ref="AE82:AE83" si="50" xml:space="preserve"> IF( AA82&lt;0, AG82, AA82 )</f>
        <v>4</v>
      </c>
      <c r="AG82">
        <f xml:space="preserve"> IF( $AA82&lt;0,  VLOOKUP( $M82,Tables!$A$362:$E$366,5), 0 )</f>
        <v>0</v>
      </c>
      <c r="AI82">
        <f xml:space="preserve"> VLOOKUP( $A82, Tables!$A$322:$I$358, 8, 0 )</f>
        <v>0</v>
      </c>
      <c r="AJ82">
        <f xml:space="preserve"> VLOOKUP( $A82, Tables!$A$322:$I$358, 9, 0 )</f>
        <v>0</v>
      </c>
      <c r="AM82" t="str">
        <f xml:space="preserve"> VLOOKUP( $A82, Tables!$A$322:$L$358, 12, 0 )</f>
        <v/>
      </c>
      <c r="AO82" s="160">
        <f t="shared" si="41"/>
        <v>0</v>
      </c>
      <c r="AP82" t="str">
        <f t="shared" si="42"/>
        <v>Library</v>
      </c>
      <c r="AR82" t="str">
        <f xml:space="preserve"> VLOOKUP( $A82, Tables!$A$322:$M$358, 3, 0 )</f>
        <v>Libraries</v>
      </c>
      <c r="AT82">
        <f xml:space="preserve"> VLOOKUP( $A82, Tables!$A$322:$M$358, 13, 0 )</f>
        <v>0</v>
      </c>
    </row>
    <row r="83" spans="1:59">
      <c r="A83" s="22" t="s">
        <v>277</v>
      </c>
      <c r="B83" s="21"/>
      <c r="C83" s="80"/>
      <c r="D83" s="33">
        <v>0</v>
      </c>
      <c r="E83" s="44"/>
      <c r="F83" s="4"/>
      <c r="G83" s="44">
        <f t="shared" si="47"/>
        <v>0</v>
      </c>
      <c r="H83" s="69">
        <f>G83*Z83</f>
        <v>0</v>
      </c>
      <c r="I83" s="69">
        <f t="shared" si="48"/>
        <v>0</v>
      </c>
      <c r="J83" s="69">
        <f>G83*AB83</f>
        <v>0</v>
      </c>
      <c r="K83" s="71"/>
      <c r="L83" s="71">
        <f>G83*AC83</f>
        <v>0</v>
      </c>
      <c r="M83" s="106">
        <f t="shared" si="44"/>
        <v>12</v>
      </c>
      <c r="N83" t="str">
        <f t="shared" si="49"/>
        <v/>
      </c>
      <c r="U83" s="69">
        <f t="shared" ref="U83:U88" si="51">I83*50%*(J83&gt;0)</f>
        <v>0</v>
      </c>
      <c r="V83" s="69">
        <f t="shared" ref="V83:V88" si="52" xml:space="preserve"> (C83&gt;0) * H83 * 10%</f>
        <v>0</v>
      </c>
      <c r="X83" s="46"/>
      <c r="Y83">
        <f xml:space="preserve"> VLOOKUP( $A83, Tables!$A$322:$G$358, 2, 0 )</f>
        <v>0</v>
      </c>
      <c r="Z83">
        <f xml:space="preserve"> VLOOKUP( $A83, Tables!$A$322:$G$358, 4, 0 )</f>
        <v>6</v>
      </c>
      <c r="AA83">
        <f xml:space="preserve"> IF( AI83&gt;=M83, AJ83, VLOOKUP( $A83, Tables!$A$322:$G$358, 5, 0 ) )</f>
        <v>0.9</v>
      </c>
      <c r="AB83">
        <f xml:space="preserve"> VLOOKUP( $A83, Tables!$A$322:$G$358, 6, 0 )</f>
        <v>0</v>
      </c>
      <c r="AC83">
        <f xml:space="preserve"> VLOOKUP( $A83, Tables!$A$322:$G$358, 7, 0 )</f>
        <v>0</v>
      </c>
      <c r="AE83">
        <f t="shared" si="50"/>
        <v>0.9</v>
      </c>
      <c r="AG83">
        <f xml:space="preserve"> IF( $AA83&lt;0,  VLOOKUP( $M83,Tables!$A$362:$E$366,5), 0 )</f>
        <v>0</v>
      </c>
      <c r="AI83">
        <f xml:space="preserve"> VLOOKUP( $A83, Tables!$A$322:$I$358, 8, 0 )</f>
        <v>0</v>
      </c>
      <c r="AJ83">
        <f xml:space="preserve"> VLOOKUP( $A83, Tables!$A$322:$I$358, 9, 0 )</f>
        <v>0</v>
      </c>
      <c r="AM83" t="str">
        <f xml:space="preserve"> VLOOKUP( $A83, Tables!$A$322:$L$358, 12, 0 )</f>
        <v/>
      </c>
      <c r="AO83" s="160">
        <f t="shared" si="41"/>
        <v>0</v>
      </c>
      <c r="AP83" t="str">
        <f t="shared" si="42"/>
        <v>Workshop</v>
      </c>
      <c r="AR83" t="str">
        <f xml:space="preserve"> VLOOKUP( $A83, Tables!$A$322:$M$358, 3, 0 )</f>
        <v>Workshops</v>
      </c>
      <c r="AT83">
        <f xml:space="preserve"> VLOOKUP( $A83, Tables!$A$322:$M$358, 13, 0 )</f>
        <v>0</v>
      </c>
    </row>
    <row r="84" spans="1:59">
      <c r="B84" s="21"/>
      <c r="C84" s="80"/>
      <c r="D84" s="71"/>
      <c r="E84" s="44"/>
      <c r="F84" s="4"/>
      <c r="G84" s="71"/>
      <c r="H84" s="69"/>
      <c r="I84" s="69"/>
      <c r="J84" s="69"/>
      <c r="K84" s="71"/>
      <c r="L84" s="71"/>
      <c r="M84" s="106"/>
      <c r="N84" s="1"/>
      <c r="O84" s="1"/>
      <c r="P84" s="49"/>
      <c r="Q84" s="49"/>
      <c r="R84" s="49"/>
      <c r="S84" s="49"/>
      <c r="T84" s="49"/>
      <c r="U84" s="69"/>
      <c r="V84" s="69">
        <f t="shared" si="52"/>
        <v>0</v>
      </c>
      <c r="X84" s="109"/>
    </row>
    <row r="85" spans="1:59">
      <c r="A85" t="s">
        <v>13</v>
      </c>
      <c r="B85" s="119">
        <f>2*(D85&gt;0)</f>
        <v>0</v>
      </c>
      <c r="C85" s="80"/>
      <c r="D85" s="42">
        <v>0</v>
      </c>
      <c r="E85" s="44"/>
      <c r="F85" s="4"/>
      <c r="G85" s="71">
        <f t="shared" ref="G85" si="53">D85</f>
        <v>0</v>
      </c>
      <c r="H85" s="69">
        <f>G85*MAX(2,B85)</f>
        <v>0</v>
      </c>
      <c r="I85" s="69">
        <f>H85*0.1</f>
        <v>0</v>
      </c>
      <c r="J85" s="69"/>
      <c r="K85" s="71"/>
      <c r="L85" s="71"/>
      <c r="M85" s="106"/>
      <c r="N85" s="49"/>
      <c r="O85" s="49"/>
      <c r="P85" s="49"/>
      <c r="Q85" s="49"/>
      <c r="R85" s="49"/>
      <c r="S85" s="49"/>
      <c r="T85" s="49"/>
      <c r="U85" s="69">
        <f t="shared" ref="U85" si="54">I85*50%*(J85&gt;0)</f>
        <v>0</v>
      </c>
      <c r="V85" s="69">
        <f t="shared" si="52"/>
        <v>0</v>
      </c>
      <c r="X85" s="109"/>
    </row>
    <row r="86" spans="1:59">
      <c r="B86" s="21"/>
      <c r="C86" s="80"/>
      <c r="D86" s="71"/>
      <c r="E86" s="44"/>
      <c r="F86" s="4"/>
      <c r="G86" s="71"/>
      <c r="H86" s="69"/>
      <c r="I86" s="69"/>
      <c r="J86" s="69"/>
      <c r="K86" s="71"/>
      <c r="L86" s="71"/>
      <c r="M86" s="106"/>
      <c r="N86" s="1"/>
      <c r="O86" s="1"/>
      <c r="P86" s="1"/>
      <c r="Q86" s="1"/>
      <c r="R86" s="1"/>
      <c r="S86" s="1"/>
      <c r="T86" s="1"/>
      <c r="U86" s="69">
        <f t="shared" si="51"/>
        <v>0</v>
      </c>
      <c r="V86" s="69">
        <f t="shared" si="52"/>
        <v>0</v>
      </c>
      <c r="X86" s="46"/>
    </row>
    <row r="87" spans="1:59">
      <c r="A87" s="68" t="s">
        <v>66</v>
      </c>
      <c r="B87" s="117">
        <f xml:space="preserve"> ROUNDDOWN( H87+H49+H51, 0 )</f>
        <v>54</v>
      </c>
      <c r="C87" s="80">
        <v>0</v>
      </c>
      <c r="D87" s="3"/>
      <c r="E87" s="41"/>
      <c r="F87" s="4"/>
      <c r="G87" s="3"/>
      <c r="H87" s="69">
        <f xml:space="preserve"> MAX(  0,  -SUM( -Hull, H11:H23, H25:H86, H88:H144, V10:V86, V88:V144 ) / (1+(C87&gt;0)*10%)  )</f>
        <v>34.733333333333334</v>
      </c>
      <c r="I87" s="69"/>
      <c r="J87" s="69"/>
      <c r="K87" s="3"/>
      <c r="L87" s="3"/>
      <c r="M87" s="106"/>
      <c r="U87" s="69">
        <f t="shared" si="51"/>
        <v>0</v>
      </c>
      <c r="V87" s="69">
        <f xml:space="preserve"> (C87&gt;0) * B87 * 10%</f>
        <v>0</v>
      </c>
      <c r="X87" s="12"/>
    </row>
    <row r="88" spans="1:59">
      <c r="A88" t="s">
        <v>69</v>
      </c>
      <c r="B88" s="59">
        <f>G88</f>
        <v>0</v>
      </c>
      <c r="C88" s="80"/>
      <c r="D88" s="33">
        <v>0</v>
      </c>
      <c r="E88" s="44"/>
      <c r="F88" s="4"/>
      <c r="G88" s="35">
        <f t="shared" ref="G88:G92" si="55">D88</f>
        <v>0</v>
      </c>
      <c r="H88" s="69"/>
      <c r="I88" s="69">
        <f>G88*0.001</f>
        <v>0</v>
      </c>
      <c r="J88" s="69"/>
      <c r="K88" s="35"/>
      <c r="L88" s="35"/>
      <c r="M88" s="106"/>
      <c r="U88" s="69">
        <f t="shared" si="51"/>
        <v>0</v>
      </c>
      <c r="V88" s="69">
        <f t="shared" si="52"/>
        <v>0</v>
      </c>
      <c r="X88" s="46"/>
    </row>
    <row r="89" spans="1:59">
      <c r="A89" t="str">
        <f>IF( TL&lt;10, "Cargo Net", "Jump Net" )</f>
        <v>Jump Net</v>
      </c>
      <c r="B89" s="59">
        <f>G89</f>
        <v>0</v>
      </c>
      <c r="C89" s="80"/>
      <c r="D89" s="33">
        <f>D88</f>
        <v>0</v>
      </c>
      <c r="E89" s="44"/>
      <c r="F89" s="4"/>
      <c r="G89" s="35">
        <f>D89 * (M89&gt;=10)</f>
        <v>0</v>
      </c>
      <c r="H89" s="69">
        <f>G89/100</f>
        <v>0</v>
      </c>
      <c r="I89" s="69">
        <f>H89*IF( TL&lt;10, 0.1, 0.3 )</f>
        <v>0</v>
      </c>
      <c r="J89" s="69"/>
      <c r="K89" s="35"/>
      <c r="L89" s="35"/>
      <c r="M89" s="106">
        <f t="shared" si="44"/>
        <v>12</v>
      </c>
      <c r="U89" s="69">
        <f t="shared" ref="U89:U144" si="56">I89*50%*(J89&gt;0)</f>
        <v>0</v>
      </c>
      <c r="V89" s="69">
        <f t="shared" ref="V89:V100" si="57" xml:space="preserve"> (C89&gt;0) * H89 * 10%</f>
        <v>0</v>
      </c>
      <c r="X89" s="46"/>
    </row>
    <row r="90" spans="1:59">
      <c r="A90" t="s">
        <v>219</v>
      </c>
      <c r="B90" s="119">
        <f>150*(D90&gt;0)</f>
        <v>0</v>
      </c>
      <c r="C90" s="80"/>
      <c r="D90" s="33">
        <v>0</v>
      </c>
      <c r="E90" s="44"/>
      <c r="F90" s="4"/>
      <c r="G90" s="35">
        <f t="shared" si="55"/>
        <v>0</v>
      </c>
      <c r="H90" s="69">
        <f>G90*(2.5+0.5*ROUNDUP(B90/150,0))</f>
        <v>0</v>
      </c>
      <c r="I90" s="69">
        <f>H90</f>
        <v>0</v>
      </c>
      <c r="J90" s="69"/>
      <c r="K90" s="35"/>
      <c r="L90" s="35"/>
      <c r="M90" s="106"/>
      <c r="U90" s="69">
        <f t="shared" si="56"/>
        <v>0</v>
      </c>
      <c r="V90" s="69">
        <f t="shared" si="57"/>
        <v>0</v>
      </c>
      <c r="X90" s="46"/>
      <c r="AM90" t="s">
        <v>881</v>
      </c>
    </row>
    <row r="91" spans="1:59">
      <c r="A91" s="22" t="s">
        <v>861</v>
      </c>
      <c r="B91" s="21"/>
      <c r="C91" s="80"/>
      <c r="D91" s="33">
        <v>0</v>
      </c>
      <c r="E91" s="44"/>
      <c r="F91" s="4"/>
      <c r="G91" s="44">
        <f t="shared" ref="G91" si="58" xml:space="preserve"> ROUNDUP( D91,0) * (M91&gt;=Y91)</f>
        <v>0</v>
      </c>
      <c r="H91" s="69">
        <f>G91*Z91</f>
        <v>0</v>
      </c>
      <c r="I91" s="69">
        <f t="shared" ref="I91" si="59">G91*AE91</f>
        <v>0</v>
      </c>
      <c r="J91" s="69">
        <f>G91*AB91</f>
        <v>0</v>
      </c>
      <c r="K91" s="71"/>
      <c r="L91" s="71">
        <f>G91*AC91</f>
        <v>0</v>
      </c>
      <c r="M91" s="106">
        <f t="shared" si="44"/>
        <v>12</v>
      </c>
      <c r="N91" t="str">
        <f xml:space="preserve"> AM91</f>
        <v/>
      </c>
      <c r="U91" s="69">
        <f t="shared" si="56"/>
        <v>0</v>
      </c>
      <c r="V91" s="69">
        <f t="shared" si="57"/>
        <v>0</v>
      </c>
      <c r="X91" s="109"/>
      <c r="Y91">
        <f xml:space="preserve"> VLOOKUP( $A91, Tables!$A$322:$G$358, 2, 0 )</f>
        <v>7</v>
      </c>
      <c r="Z91">
        <f xml:space="preserve"> VLOOKUP( $A91, Tables!$A$322:$G$358, 4, 0 )</f>
        <v>1</v>
      </c>
      <c r="AA91">
        <f xml:space="preserve"> IF( AI91&gt;=M91, AJ91, VLOOKUP( $A91, Tables!$A$322:$G$358, 5, 0 ) )</f>
        <v>0.01</v>
      </c>
      <c r="AB91">
        <f xml:space="preserve"> VLOOKUP( $A91, Tables!$A$322:$G$358, 6, 0 )</f>
        <v>1</v>
      </c>
      <c r="AC91">
        <f xml:space="preserve"> VLOOKUP( $A91, Tables!$A$322:$G$358, 7, 0 )</f>
        <v>0</v>
      </c>
      <c r="AE91">
        <f t="shared" ref="AE91" si="60" xml:space="preserve"> IF( AA91&lt;0, AG91, AA91 )</f>
        <v>0.01</v>
      </c>
      <c r="AG91">
        <f xml:space="preserve"> IF( $AA91&lt;0,  VLOOKUP( $M91,Tables!$A$362:$E$366,5), 0 )</f>
        <v>0</v>
      </c>
      <c r="AI91">
        <f xml:space="preserve"> VLOOKUP( $A91, Tables!$A$322:$I$358, 8, 0 )</f>
        <v>12</v>
      </c>
      <c r="AJ91">
        <f xml:space="preserve"> VLOOKUP( $A91, Tables!$A$322:$I$358, 9, 0 )</f>
        <v>0.01</v>
      </c>
      <c r="AM91" t="str">
        <f xml:space="preserve"> VLOOKUP( $A91, Tables!$A$322:$L$358, 12, 0 )</f>
        <v/>
      </c>
    </row>
    <row r="92" spans="1:59">
      <c r="A92" t="s">
        <v>498</v>
      </c>
      <c r="C92" s="80"/>
      <c r="D92" s="33">
        <v>0</v>
      </c>
      <c r="E92" s="44"/>
      <c r="F92" s="4"/>
      <c r="G92" s="35">
        <f t="shared" si="55"/>
        <v>0</v>
      </c>
      <c r="H92" s="69"/>
      <c r="I92" s="69">
        <f>G92*0.01</f>
        <v>0</v>
      </c>
      <c r="J92" s="69"/>
      <c r="K92" s="35"/>
      <c r="L92" s="35"/>
      <c r="M92" s="106"/>
      <c r="N92" s="49">
        <f>G92*4</f>
        <v>0</v>
      </c>
      <c r="O92" s="49"/>
      <c r="P92" s="49"/>
      <c r="Q92" s="49"/>
      <c r="R92" s="49"/>
      <c r="S92" s="49"/>
      <c r="T92" s="49"/>
      <c r="U92" s="69">
        <f t="shared" si="56"/>
        <v>0</v>
      </c>
      <c r="V92" s="69">
        <f t="shared" si="57"/>
        <v>0</v>
      </c>
      <c r="X92" s="46"/>
    </row>
    <row r="93" spans="1:59">
      <c r="A93" t="s">
        <v>289</v>
      </c>
      <c r="B93" s="119">
        <v>0</v>
      </c>
      <c r="C93" s="80"/>
      <c r="D93" s="33">
        <f xml:space="preserve"> 1*(B93&gt;0)</f>
        <v>0</v>
      </c>
      <c r="E93" s="44"/>
      <c r="F93" s="4"/>
      <c r="G93" s="44">
        <f xml:space="preserve"> ROUNDUP( D93,0)</f>
        <v>0</v>
      </c>
      <c r="H93" s="69">
        <f>G93*B93*1%</f>
        <v>0</v>
      </c>
      <c r="I93" s="69">
        <f>H93*0.0005</f>
        <v>0</v>
      </c>
      <c r="J93" s="69"/>
      <c r="K93" s="71"/>
      <c r="L93" s="71"/>
      <c r="M93" s="106"/>
      <c r="U93" s="69">
        <f t="shared" si="56"/>
        <v>0</v>
      </c>
      <c r="V93" s="69">
        <f t="shared" si="57"/>
        <v>0</v>
      </c>
      <c r="X93" s="46"/>
    </row>
    <row r="94" spans="1:59">
      <c r="C94" s="80"/>
      <c r="D94" s="3"/>
      <c r="E94" s="41"/>
      <c r="F94" s="4"/>
      <c r="G94" s="3"/>
      <c r="H94" s="69"/>
      <c r="I94" s="69"/>
      <c r="J94" s="69"/>
      <c r="K94" s="3"/>
      <c r="L94" s="3"/>
      <c r="M94" s="106"/>
      <c r="U94" s="69">
        <f t="shared" si="56"/>
        <v>0</v>
      </c>
      <c r="V94" s="69">
        <f t="shared" si="57"/>
        <v>0</v>
      </c>
      <c r="X94" s="1" t="s">
        <v>329</v>
      </c>
      <c r="Y94" s="1" t="s">
        <v>696</v>
      </c>
      <c r="Z94" s="1" t="s">
        <v>400</v>
      </c>
      <c r="AA94" s="1" t="s">
        <v>673</v>
      </c>
      <c r="AB94" s="1" t="s">
        <v>765</v>
      </c>
      <c r="AC94" s="1" t="s">
        <v>421</v>
      </c>
      <c r="AD94" s="1" t="s">
        <v>766</v>
      </c>
      <c r="AE94" s="1" t="s">
        <v>402</v>
      </c>
      <c r="AF94" s="1" t="s">
        <v>345</v>
      </c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 t="s">
        <v>696</v>
      </c>
      <c r="AR94" s="1" t="s">
        <v>400</v>
      </c>
      <c r="AS94" s="1" t="s">
        <v>673</v>
      </c>
      <c r="AT94" s="1"/>
      <c r="AU94" s="1" t="s">
        <v>879</v>
      </c>
      <c r="AV94" s="1" t="s">
        <v>372</v>
      </c>
      <c r="AW94" s="1" t="s">
        <v>620</v>
      </c>
      <c r="BG94" t="s">
        <v>73</v>
      </c>
    </row>
    <row r="95" spans="1:59">
      <c r="A95" s="68" t="str">
        <f>CONCATENATE( "Spinal", IF( AU95&lt;&gt;0, ", ", "" ), IF( AU95&lt;&gt;0, AT95, "" ) )</f>
        <v>Spinal</v>
      </c>
      <c r="B95" s="22"/>
      <c r="C95" s="80"/>
      <c r="D95" s="14">
        <f xml:space="preserve"> 1 * (B95&lt;&gt;"")</f>
        <v>0</v>
      </c>
      <c r="E95" s="42">
        <v>0</v>
      </c>
      <c r="F95" s="4">
        <f>ROUNDDOWN(MIN(D95,AF95/MAX(1,(Z95*(1+AR95)))),0)</f>
        <v>0</v>
      </c>
      <c r="G95" s="3">
        <f>1*(D95&gt;0)</f>
        <v>0</v>
      </c>
      <c r="H95" s="69">
        <f>G95*F95*Z95*(1+AR95)*(1+AV95)</f>
        <v>0</v>
      </c>
      <c r="I95" s="69">
        <f>G95*F95*AA95*(1+AS95)*(1+AW95)</f>
        <v>0</v>
      </c>
      <c r="J95" s="69">
        <f>G95*F95*AB95*(H95&gt;0)*(1+30%*(AU95&lt;0))</f>
        <v>0</v>
      </c>
      <c r="K95" s="3">
        <f>ROUNDUP(H95/100,0)</f>
        <v>0</v>
      </c>
      <c r="L95" s="3">
        <f>ROUNDUP(H95/100,0)</f>
        <v>0</v>
      </c>
      <c r="M95" s="106">
        <f t="shared" si="44"/>
        <v>12</v>
      </c>
      <c r="N95" s="27">
        <f>F95*AD95</f>
        <v>0</v>
      </c>
      <c r="O95" s="27"/>
      <c r="P95" s="27"/>
      <c r="Q95" s="27"/>
      <c r="R95" s="27"/>
      <c r="S95" s="27"/>
      <c r="T95" s="27"/>
      <c r="U95" s="69">
        <f t="shared" si="56"/>
        <v>0</v>
      </c>
      <c r="V95" s="69">
        <f t="shared" si="57"/>
        <v>0</v>
      </c>
      <c r="W95" s="25" t="str">
        <f>IF(B95&lt;&gt;0,B95,"")</f>
        <v/>
      </c>
      <c r="X95" s="1" t="str">
        <f>VLOOKUP($W95,Tables!$B$377:$I$381,1,0)</f>
        <v/>
      </c>
      <c r="Y95" s="1">
        <f>VLOOKUP($W95,Tables!$B$377:$I$381,2,0)</f>
        <v>0</v>
      </c>
      <c r="Z95" s="1">
        <f>VLOOKUP($W95,Tables!$B$377:$I$381,3,0)</f>
        <v>0</v>
      </c>
      <c r="AA95" s="1">
        <f>VLOOKUP($W95,Tables!$B$377:$I$381,4,0)</f>
        <v>0</v>
      </c>
      <c r="AB95" s="1">
        <f>VLOOKUP($W95,Tables!$B$377:$I$381,5,0)</f>
        <v>0</v>
      </c>
      <c r="AC95" s="1">
        <f>VLOOKUP($W95,Tables!$B$377:$I$381,6,0)</f>
        <v>0</v>
      </c>
      <c r="AD95" s="1">
        <f>VLOOKUP($W95,Tables!$B$377:$I$381,7,0)</f>
        <v>0</v>
      </c>
      <c r="AE95" s="1">
        <f>VLOOKUP($W95,Tables!$B$377:$I$381,8,0)</f>
        <v>0</v>
      </c>
      <c r="AF95" s="1">
        <f>VLOOKUP($W95,Tables!$B$377:$J$381,9,0)</f>
        <v>0</v>
      </c>
      <c r="AG95" s="1"/>
      <c r="AH95" s="1"/>
      <c r="AI95" s="1"/>
      <c r="AJ95" s="1"/>
      <c r="AK95" s="1"/>
      <c r="AL95" s="1"/>
      <c r="AM95" s="1"/>
      <c r="AN95" s="1"/>
      <c r="AO95" s="1"/>
      <c r="AQ95" s="29">
        <f>MAX(-3,M95-Y95-AU95)</f>
        <v>12</v>
      </c>
      <c r="AR95" s="26">
        <f>VLOOKUP(AQ95,Tables!C384:E388,2)</f>
        <v>-0.2</v>
      </c>
      <c r="AS95" s="26">
        <f>VLOOKUP(AQ95,Tables!C384:E388,3)</f>
        <v>0.3</v>
      </c>
      <c r="AT95" s="1" t="str">
        <f>VLOOKUP($AU95,Tables!$A$508:$D$515,2)</f>
        <v>Standard</v>
      </c>
      <c r="AU95" s="29">
        <f>MAX( MIN( E95, M95-Y95, 3), -3 )</f>
        <v>0</v>
      </c>
      <c r="AV95" s="30">
        <f>VLOOKUP($AU95,Tables!$A$508:$D$515,3)</f>
        <v>0</v>
      </c>
      <c r="AW95" s="30">
        <f>VLOOKUP($AU95,Tables!$A$508:$D$515,4)</f>
        <v>0</v>
      </c>
      <c r="BG95">
        <f xml:space="preserve"> 1 * ( B95="Particle" ) * ( H95&gt;0 )</f>
        <v>0</v>
      </c>
    </row>
    <row r="96" spans="1:59">
      <c r="A96" t="s">
        <v>112</v>
      </c>
      <c r="C96" s="80"/>
      <c r="D96" s="3"/>
      <c r="E96" s="41"/>
      <c r="F96" s="4"/>
      <c r="G96" s="3"/>
      <c r="H96" s="69"/>
      <c r="I96" s="69"/>
      <c r="J96" s="69"/>
      <c r="K96" s="3"/>
      <c r="L96" s="3"/>
      <c r="M96" s="106"/>
      <c r="O96" s="1" t="s">
        <v>555</v>
      </c>
      <c r="P96" s="1" t="s">
        <v>638</v>
      </c>
      <c r="U96" s="69">
        <f t="shared" si="56"/>
        <v>0</v>
      </c>
      <c r="V96" s="69">
        <f t="shared" si="57"/>
        <v>0</v>
      </c>
      <c r="X96" s="1" t="s">
        <v>329</v>
      </c>
      <c r="Y96" s="1" t="s">
        <v>696</v>
      </c>
      <c r="Z96" s="1" t="s">
        <v>400</v>
      </c>
      <c r="AA96" s="1" t="s">
        <v>673</v>
      </c>
      <c r="AB96" s="1" t="s">
        <v>765</v>
      </c>
      <c r="AC96" s="1" t="s">
        <v>421</v>
      </c>
      <c r="AD96" s="1" t="s">
        <v>766</v>
      </c>
      <c r="AE96" s="1" t="s">
        <v>402</v>
      </c>
      <c r="AF96" s="1" t="s">
        <v>828</v>
      </c>
      <c r="AG96" s="1" t="s">
        <v>557</v>
      </c>
      <c r="AH96" s="1" t="s">
        <v>658</v>
      </c>
      <c r="AI96" s="1" t="s">
        <v>685</v>
      </c>
      <c r="AJ96" s="1" t="s">
        <v>391</v>
      </c>
      <c r="AK96" s="1" t="s">
        <v>557</v>
      </c>
      <c r="AL96" s="1" t="s">
        <v>658</v>
      </c>
      <c r="AM96" s="1" t="s">
        <v>685</v>
      </c>
      <c r="AN96" s="1" t="s">
        <v>463</v>
      </c>
      <c r="AO96" s="1" t="s">
        <v>808</v>
      </c>
      <c r="AP96" s="1" t="s">
        <v>329</v>
      </c>
      <c r="AQ96" s="1" t="s">
        <v>696</v>
      </c>
      <c r="AR96" s="1" t="s">
        <v>400</v>
      </c>
      <c r="AS96" s="1" t="s">
        <v>673</v>
      </c>
      <c r="BG96">
        <f xml:space="preserve"> 1 * AND(  OR( A96="Particle", A96="Fusion"),  G96&gt;0  )</f>
        <v>0</v>
      </c>
    </row>
    <row r="97" spans="1:59">
      <c r="A97" s="22" t="s">
        <v>275</v>
      </c>
      <c r="B97" t="str">
        <f xml:space="preserve"> IF( AO97&lt;&gt;0, CONCATENATE(  IF(AP97="Budget","Budget",AO97),  ":",  IF(O97&gt;0,"Size ",""),  IF(P97&gt;0,"Ene ","")  ), "" )</f>
        <v/>
      </c>
      <c r="C97" s="80"/>
      <c r="D97" s="14">
        <v>0</v>
      </c>
      <c r="E97" s="42">
        <v>0</v>
      </c>
      <c r="F97" s="28">
        <f>MIN(M97,Y97+E97)*(D97&gt;0)</f>
        <v>0</v>
      </c>
      <c r="G97" s="3">
        <f>D97</f>
        <v>0</v>
      </c>
      <c r="H97" s="69">
        <f>G97*Z97*(1+AR97)*( 1 - 10%*MAX(0,MIN(O97,AO97)) + 20%*MAX(0,MIN(O97,-AO97)) )</f>
        <v>0</v>
      </c>
      <c r="I97" s="69">
        <f>G97*AA97*(1+AS97)</f>
        <v>0</v>
      </c>
      <c r="J97" s="69">
        <f>G97*AB97*(H97&gt;0) * ( 1 - 25%*MAX(0,MIN(P97,AO97)) + 30%*MAX(0,MIN(P97,-AO97)) )</f>
        <v>0</v>
      </c>
      <c r="K97" s="3">
        <f>G97*5*(H97&gt;0)</f>
        <v>0</v>
      </c>
      <c r="L97" s="35">
        <f>G97*(4)*(H97&gt;0)</f>
        <v>0</v>
      </c>
      <c r="M97" s="106">
        <f t="shared" si="44"/>
        <v>12</v>
      </c>
      <c r="N97" s="31" t="str">
        <f>CONCATENATE("Dam: ",AD97)</f>
        <v>Dam: 8D</v>
      </c>
      <c r="O97" s="33">
        <f xml:space="preserve"> IF( OR( A97="Missile", A97="Torpedo" ),  ABS($AO97),  0  )</f>
        <v>0</v>
      </c>
      <c r="P97" s="33">
        <f xml:space="preserve"> IF( AND( $AO97&lt;0,  NOT( OR( A97="Missile", A97="Torpedo" ) ) ),  -$AO97,  0  )</f>
        <v>0</v>
      </c>
      <c r="Q97" s="31"/>
      <c r="R97" s="31"/>
      <c r="S97" s="31"/>
      <c r="T97" s="31"/>
      <c r="U97" s="69">
        <f t="shared" si="56"/>
        <v>0</v>
      </c>
      <c r="V97" s="69">
        <f t="shared" si="57"/>
        <v>0</v>
      </c>
      <c r="X97" s="1" t="str">
        <f>IF(ISNA(VLOOKUP($A97,Tables!$A$403:$H$413,1,FALSE)),"None",VLOOKUP($A97,Tables!$A$403:$H$413,1,FALSE))</f>
        <v>Particle</v>
      </c>
      <c r="Y97" s="1">
        <f>VLOOKUP($X97,Tables!$A$403:$H$413,2,FALSE)</f>
        <v>11</v>
      </c>
      <c r="Z97" s="1">
        <f>VLOOKUP($X97,Tables!$A$403:$H$413,3,FALSE)</f>
        <v>500</v>
      </c>
      <c r="AA97" s="1">
        <f>VLOOKUP($X97,Tables!$A$403:$H$413,4,FALSE)</f>
        <v>120</v>
      </c>
      <c r="AB97" s="1">
        <f>VLOOKUP($X97,Tables!$A$403:$H$413,5,FALSE)</f>
        <v>200</v>
      </c>
      <c r="AC97" s="1" t="str">
        <f>VLOOKUP($X97,Tables!$A$403:$H$413,6,FALSE)</f>
        <v>Very Long</v>
      </c>
      <c r="AD97" s="1" t="str">
        <f>VLOOKUP($X97,Tables!$A$403:$H$413,7,FALSE)</f>
        <v>8D</v>
      </c>
      <c r="AE97" s="1" t="str">
        <f>VLOOKUP($X97,Tables!$A$403:$H$413,8,FALSE)</f>
        <v>Radiation</v>
      </c>
      <c r="AF97" s="1">
        <f>VLOOKUP($X97,Tables!$A$403:$L$413,9,FALSE)</f>
        <v>0</v>
      </c>
      <c r="AG97" s="1">
        <f>VLOOKUP($X97,Tables!$A$403:$L$413,10,FALSE)</f>
        <v>0</v>
      </c>
      <c r="AH97" s="1">
        <f>VLOOKUP($X97,Tables!$A$403:$L$413,11,FALSE)</f>
        <v>0</v>
      </c>
      <c r="AI97" s="1">
        <f>VLOOKUP($X97,Tables!$A$403:$L$413,12,FALSE)</f>
        <v>0</v>
      </c>
      <c r="AJ97" s="1"/>
      <c r="AK97" s="1">
        <f>G97*AG97</f>
        <v>0</v>
      </c>
      <c r="AL97" s="1">
        <f>G97*AH97</f>
        <v>0</v>
      </c>
      <c r="AM97" s="1">
        <f>G97*AI97*MAX(0, $D$122-AF97 )</f>
        <v>0</v>
      </c>
      <c r="AN97" s="1"/>
      <c r="AO97" s="123">
        <f>VLOOKUP($AQ97,Tables!$A$508:$E$515,5)</f>
        <v>0</v>
      </c>
      <c r="AP97" s="1" t="str">
        <f>VLOOKUP($AQ97,Tables!$A$508:$D$515,2)</f>
        <v>None</v>
      </c>
      <c r="AQ97" s="29">
        <f>MAX(F97-Y97,-3)</f>
        <v>-3</v>
      </c>
      <c r="AR97" s="30">
        <f>VLOOKUP($AQ97,Tables!$A$508:$D$515,3)</f>
        <v>-1</v>
      </c>
      <c r="AS97" s="30">
        <f>VLOOKUP($AQ97,Tables!$A$508:$D$515,4)</f>
        <v>-1</v>
      </c>
      <c r="BG97">
        <f t="shared" ref="BG97:BG117" si="61" xml:space="preserve"> 1 * AND(  OR( A97="Particle", A97="Fusion"),  G97&gt;0  )</f>
        <v>0</v>
      </c>
    </row>
    <row r="98" spans="1:59">
      <c r="A98" s="22" t="s">
        <v>426</v>
      </c>
      <c r="B98" t="str">
        <f xml:space="preserve"> IF( AO98&lt;&gt;0, CONCATENATE(  IF(AP98="Budget","Budget",AO98),  ":",  IF(O98&gt;0,"Size ",""),  IF(P98&gt;0,"Ene ","")  ), "" )</f>
        <v/>
      </c>
      <c r="C98" s="80"/>
      <c r="D98" s="14">
        <v>0</v>
      </c>
      <c r="E98" s="42">
        <v>0</v>
      </c>
      <c r="F98" s="28">
        <f>MIN(M98,Y98+E98)*(D98&gt;0)</f>
        <v>0</v>
      </c>
      <c r="G98" s="3">
        <f>D98</f>
        <v>0</v>
      </c>
      <c r="H98" s="69">
        <f>G98*Z98*(1+AR98)*( 1 - 10%*MAX(0,MIN(O98,AO98)) + 20%*MAX(0,MIN(O98,-AO98)) )</f>
        <v>0</v>
      </c>
      <c r="I98" s="69">
        <f>G98*AA98*(1+AS98)</f>
        <v>0</v>
      </c>
      <c r="J98" s="69">
        <f>G98*AB98*(H98&gt;0) * ( 1 - 25%*MAX(0,MIN(P98,AO98)) + 30%*MAX(0,MIN(P98,-AO98)) )</f>
        <v>0</v>
      </c>
      <c r="K98" s="24">
        <f>G98*5*(H98&gt;0)</f>
        <v>0</v>
      </c>
      <c r="L98" s="35">
        <f>G98*(4)*(H98&gt;0)</f>
        <v>0</v>
      </c>
      <c r="M98" s="106">
        <f t="shared" si="44"/>
        <v>12</v>
      </c>
      <c r="N98" s="31" t="str">
        <f>CONCATENATE("Dam: ",AD98)</f>
        <v xml:space="preserve">Dam: </v>
      </c>
      <c r="O98" s="33">
        <f xml:space="preserve"> IF( OR( A98="Missile", A98="Torpedo" ),  ABS($AO98),  0  )</f>
        <v>0</v>
      </c>
      <c r="P98" s="33">
        <f xml:space="preserve"> IF( AND( $AO98&lt;0,  NOT( OR( A98="Missile", A98="Torpedo" ) ) ),  -$AO98,  0  )</f>
        <v>0</v>
      </c>
      <c r="Q98" s="31"/>
      <c r="R98" s="123"/>
      <c r="S98" s="31"/>
      <c r="T98" s="31"/>
      <c r="U98" s="69">
        <f t="shared" si="56"/>
        <v>0</v>
      </c>
      <c r="V98" s="69">
        <f t="shared" si="57"/>
        <v>0</v>
      </c>
      <c r="X98" s="1" t="str">
        <f>IF(ISNA(VLOOKUP($A98,Tables!$A$403:$H$413,1,FALSE)),"None",VLOOKUP($A98,Tables!$A$403:$H$413,1,FALSE))</f>
        <v>Missile</v>
      </c>
      <c r="Y98" s="1">
        <f>VLOOKUP($X98,Tables!$A$403:$H$413,2,FALSE)</f>
        <v>7</v>
      </c>
      <c r="Z98" s="1">
        <f>VLOOKUP($X98,Tables!$A$403:$H$413,3,FALSE)</f>
        <v>500</v>
      </c>
      <c r="AA98" s="1">
        <f>VLOOKUP($X98,Tables!$A$403:$H$413,4,FALSE)</f>
        <v>125</v>
      </c>
      <c r="AB98" s="1">
        <f>VLOOKUP($X98,Tables!$A$403:$H$413,5,FALSE)</f>
        <v>50</v>
      </c>
      <c r="AC98" s="1" t="str">
        <f>VLOOKUP($X98,Tables!$A$403:$H$413,6,FALSE)</f>
        <v/>
      </c>
      <c r="AD98" s="1" t="str">
        <f>VLOOKUP($X98,Tables!$A$403:$H$413,7,FALSE)</f>
        <v/>
      </c>
      <c r="AE98" s="1" t="str">
        <f>VLOOKUP($X98,Tables!$A$403:$H$413,8,FALSE)</f>
        <v>Smart</v>
      </c>
      <c r="AF98" s="1">
        <f>VLOOKUP($X98,Tables!$A$403:$L$413,9,FALSE)</f>
        <v>12</v>
      </c>
      <c r="AG98" s="1">
        <f>VLOOKUP($X98,Tables!$A$403:$L$413,10,FALSE)</f>
        <v>120</v>
      </c>
      <c r="AH98" s="1">
        <f>VLOOKUP($X98,Tables!$A$403:$L$413,11,FALSE)</f>
        <v>0</v>
      </c>
      <c r="AI98" s="1">
        <f>VLOOKUP($X98,Tables!$A$403:$L$413,12,FALSE)</f>
        <v>10</v>
      </c>
      <c r="AJ98" s="1"/>
      <c r="AK98" s="1">
        <f>G98*AG98</f>
        <v>0</v>
      </c>
      <c r="AL98" s="1">
        <f>G98*AH98</f>
        <v>0</v>
      </c>
      <c r="AM98" s="1">
        <f>G98*AI98*MAX(0, $D$122-AF98 )</f>
        <v>0</v>
      </c>
      <c r="AN98" s="1"/>
      <c r="AO98" s="123">
        <f>VLOOKUP($AQ98,Tables!$A$508:$E$515,5)</f>
        <v>0</v>
      </c>
      <c r="AP98" s="1" t="str">
        <f>VLOOKUP($AQ98,Tables!$A$508:$D$515,2)</f>
        <v>None</v>
      </c>
      <c r="AQ98" s="29">
        <f>MAX(F98-Y98,-3)</f>
        <v>-3</v>
      </c>
      <c r="AR98" s="30">
        <f>VLOOKUP($AQ98,Tables!$A$508:$D$515,3)</f>
        <v>-1</v>
      </c>
      <c r="AS98" s="30">
        <f>VLOOKUP($AQ98,Tables!$A$508:$D$515,4)</f>
        <v>-1</v>
      </c>
      <c r="BG98">
        <f t="shared" si="61"/>
        <v>0</v>
      </c>
    </row>
    <row r="99" spans="1:59">
      <c r="A99" t="s">
        <v>888</v>
      </c>
      <c r="C99" s="80"/>
      <c r="D99" s="3"/>
      <c r="E99" s="41"/>
      <c r="F99" s="4"/>
      <c r="G99" s="3"/>
      <c r="H99" s="69"/>
      <c r="I99" s="69"/>
      <c r="J99" s="69"/>
      <c r="K99" s="3"/>
      <c r="L99" s="3">
        <f>G99*2</f>
        <v>0</v>
      </c>
      <c r="M99" s="106"/>
      <c r="U99" s="69">
        <f t="shared" si="56"/>
        <v>0</v>
      </c>
      <c r="V99" s="69">
        <f t="shared" si="57"/>
        <v>0</v>
      </c>
      <c r="X99" s="12"/>
      <c r="BG99">
        <f t="shared" si="61"/>
        <v>0</v>
      </c>
    </row>
    <row r="100" spans="1:59">
      <c r="A100" s="22" t="s">
        <v>275</v>
      </c>
      <c r="B100" t="str">
        <f xml:space="preserve"> IF( AO100&lt;&gt;0, CONCATENATE(  IF(AP100="Budget","Budget",AO100),  ":",  IF(O100&gt;0,"Size ",""),  IF(P100&gt;0,"Ene ","")  ), "" )</f>
        <v/>
      </c>
      <c r="C100" s="80"/>
      <c r="D100" s="14">
        <v>0</v>
      </c>
      <c r="E100" s="42">
        <v>0</v>
      </c>
      <c r="F100" s="28">
        <f>MIN(M100,Y100+E100)*(D100&gt;0)</f>
        <v>0</v>
      </c>
      <c r="G100" s="3">
        <f>D100</f>
        <v>0</v>
      </c>
      <c r="H100" s="69">
        <f>G100*Z100*(1+AR100)*( 1 - 10%*MAX(0,MIN(O100,AO100)) + 20%*MAX(0,MIN(O100,-AO100)) )</f>
        <v>0</v>
      </c>
      <c r="I100" s="69">
        <f>G100*AA100*(1+AS100)</f>
        <v>0</v>
      </c>
      <c r="J100" s="69">
        <f>G100*AB100*(H100&gt;0) * ( 1 - 25%*MAX(0,MIN(P100,AO100)) + 30%*MAX(0,MIN(P100,-AO100)) )</f>
        <v>0</v>
      </c>
      <c r="K100" s="3">
        <f>G100*(H100&gt;0)</f>
        <v>0</v>
      </c>
      <c r="L100" s="35">
        <f>G100*(2)*(H100&gt;0)</f>
        <v>0</v>
      </c>
      <c r="M100" s="106">
        <f t="shared" si="44"/>
        <v>12</v>
      </c>
      <c r="N100" s="31" t="str">
        <f>CONCATENATE("Dam: ",AD100)</f>
        <v>Dam: 8D</v>
      </c>
      <c r="O100" s="33">
        <f xml:space="preserve"> IF( OR( A100="Missile", A100="Torpedo" ),  ABS($AO100),  0  )</f>
        <v>0</v>
      </c>
      <c r="P100" s="33">
        <f xml:space="preserve"> IF( AND( $AO100&lt;0,  NOT( OR( A100="Missile", A100="Torpedo" ) ) ),  -$AO100,  0  )</f>
        <v>0</v>
      </c>
      <c r="Q100" s="31"/>
      <c r="R100" s="31"/>
      <c r="S100" s="31"/>
      <c r="T100" s="31"/>
      <c r="U100" s="69">
        <f t="shared" si="56"/>
        <v>0</v>
      </c>
      <c r="V100" s="69">
        <f t="shared" si="57"/>
        <v>0</v>
      </c>
      <c r="X100" s="1" t="str">
        <f>IF(ISNA(VLOOKUP($A100,Tables!$A$416:$H$427,1,FALSE)),"None",VLOOKUP($A100,Tables!$A$416:$H$427,1,FALSE))</f>
        <v>Particle</v>
      </c>
      <c r="Y100" s="1">
        <f>VLOOKUP($X100,Tables!$A$416:$H$427,2,FALSE)</f>
        <v>11</v>
      </c>
      <c r="Z100" s="1">
        <f>VLOOKUP($X100,Tables!$A$416:$H$427,3,FALSE)</f>
        <v>100</v>
      </c>
      <c r="AA100" s="1">
        <f>VLOOKUP($X100,Tables!$A$416:$H$427,4,FALSE)</f>
        <v>40</v>
      </c>
      <c r="AB100" s="1">
        <f>VLOOKUP($X100,Tables!$A$416:$H$427,5,FALSE)</f>
        <v>45</v>
      </c>
      <c r="AC100" s="1" t="str">
        <f>VLOOKUP($X100,Tables!$A$416:$H$427,6,FALSE)</f>
        <v>Very Long</v>
      </c>
      <c r="AD100" s="1" t="str">
        <f>VLOOKUP($X100,Tables!$A$416:$H$427,7,FALSE)</f>
        <v>8D</v>
      </c>
      <c r="AE100" s="1" t="str">
        <f>VLOOKUP($X100,Tables!$A$416:$H$427,8,FALSE)</f>
        <v>Radiation</v>
      </c>
      <c r="AF100" s="1">
        <f>VLOOKUP($X100,Tables!$A$416:$L$427,9,FALSE)</f>
        <v>0</v>
      </c>
      <c r="AG100" s="1">
        <f>VLOOKUP($X100,Tables!$A$416:$L$427,10,FALSE)</f>
        <v>0</v>
      </c>
      <c r="AH100" s="1">
        <f>VLOOKUP($X100,Tables!$A$416:$L$427,11,FALSE)</f>
        <v>0</v>
      </c>
      <c r="AI100" s="1">
        <f>VLOOKUP($X100,Tables!$A$416:$L$427,12,FALSE)</f>
        <v>0</v>
      </c>
      <c r="AJ100" s="1"/>
      <c r="AK100" s="1">
        <f>G100*AG100</f>
        <v>0</v>
      </c>
      <c r="AL100" s="1">
        <f>G100*AH100</f>
        <v>0</v>
      </c>
      <c r="AM100" s="1">
        <f>G100*AI100*MAX(0, $D$122-AF100 )</f>
        <v>0</v>
      </c>
      <c r="AN100" s="1"/>
      <c r="AO100" s="123">
        <f>VLOOKUP($AQ100,Tables!$A$508:$E$515,5)</f>
        <v>0</v>
      </c>
      <c r="AP100" s="1" t="str">
        <f>VLOOKUP($AQ100,Tables!$A$508:$D$515,2)</f>
        <v>None</v>
      </c>
      <c r="AQ100" s="29">
        <f>MAX(F100-Y100,-3)</f>
        <v>-3</v>
      </c>
      <c r="AR100" s="30">
        <f>VLOOKUP($AQ100,Tables!$A$508:$D$515,3)</f>
        <v>-1</v>
      </c>
      <c r="AS100" s="30">
        <f>VLOOKUP($AQ100,Tables!$A$508:$D$515,4)</f>
        <v>-1</v>
      </c>
      <c r="BG100">
        <f t="shared" si="61"/>
        <v>0</v>
      </c>
    </row>
    <row r="101" spans="1:59">
      <c r="A101" s="22" t="s">
        <v>426</v>
      </c>
      <c r="B101" t="str">
        <f xml:space="preserve"> IF( AO101&lt;&gt;0, CONCATENATE(  IF(AP101="Budget","Budget",AO101),  ":",  IF(O101&gt;0,"Size ",""),  IF(P101&gt;0,"Ene ","")  ), "" )</f>
        <v/>
      </c>
      <c r="C101" s="80"/>
      <c r="D101" s="14">
        <v>0</v>
      </c>
      <c r="E101" s="42">
        <v>0</v>
      </c>
      <c r="F101" s="28">
        <f>MIN(M101,Y101+E101)*(D101&gt;0)</f>
        <v>0</v>
      </c>
      <c r="G101" s="3">
        <f>D101</f>
        <v>0</v>
      </c>
      <c r="H101" s="69">
        <f>G101*Z101*(1+AR101)*( 1 - 10%*MAX(0,MIN(O101,AO101)) + 20%*MAX(0,MIN(O101,-AO101)) )</f>
        <v>0</v>
      </c>
      <c r="I101" s="69">
        <f>G101*AA101*(1+AS101)</f>
        <v>0</v>
      </c>
      <c r="J101" s="69">
        <f>G101*AB101*(H101&gt;0) * ( 1 - 25%*MAX(0,MIN(P101,AO101)) + 30%*MAX(0,MIN(P101,-AO101)) )</f>
        <v>0</v>
      </c>
      <c r="K101" s="3">
        <f>G101*(H101&gt;0)</f>
        <v>0</v>
      </c>
      <c r="L101" s="35">
        <f>G101*(2)*(H101&gt;0)</f>
        <v>0</v>
      </c>
      <c r="M101" s="106">
        <f t="shared" si="44"/>
        <v>12</v>
      </c>
      <c r="N101" s="31" t="str">
        <f>CONCATENATE("Dam: ",AD101)</f>
        <v xml:space="preserve">Dam: </v>
      </c>
      <c r="O101" s="33">
        <f xml:space="preserve"> IF( OR( A101="Missile", A101="Torpedo" ),  ABS($AO101),  0  )</f>
        <v>0</v>
      </c>
      <c r="P101" s="33">
        <f xml:space="preserve"> IF( AND( $AO101&lt;0,  NOT( OR( A101="Missile", A101="Torpedo" ) ) ),  -$AO101,  0  )</f>
        <v>0</v>
      </c>
      <c r="Q101" s="31"/>
      <c r="R101" s="31"/>
      <c r="S101" s="31"/>
      <c r="T101" s="31"/>
      <c r="U101" s="69">
        <f t="shared" si="56"/>
        <v>0</v>
      </c>
      <c r="V101" s="69">
        <f t="shared" si="45"/>
        <v>0</v>
      </c>
      <c r="X101" s="1" t="str">
        <f>IF(ISNA(VLOOKUP($A101,Tables!$A$416:$H$427,1,FALSE)),"None",VLOOKUP($A101,Tables!$A$416:$H$427,1,FALSE))</f>
        <v>Missile</v>
      </c>
      <c r="Y101" s="1">
        <f>VLOOKUP($X101,Tables!$A$416:$H$427,2,FALSE)</f>
        <v>7</v>
      </c>
      <c r="Z101" s="1">
        <f>VLOOKUP($X101,Tables!$A$416:$H$427,3,FALSE)</f>
        <v>100</v>
      </c>
      <c r="AA101" s="1">
        <f>VLOOKUP($X101,Tables!$A$416:$H$427,4,FALSE)</f>
        <v>25</v>
      </c>
      <c r="AB101" s="1">
        <f>VLOOKUP($X101,Tables!$A$416:$H$427,5,FALSE)</f>
        <v>10</v>
      </c>
      <c r="AC101" s="1" t="str">
        <f>VLOOKUP($X101,Tables!$A$416:$H$427,6,FALSE)</f>
        <v/>
      </c>
      <c r="AD101" s="1" t="str">
        <f>VLOOKUP($X101,Tables!$A$416:$H$427,7,FALSE)</f>
        <v/>
      </c>
      <c r="AE101" s="1" t="str">
        <f>VLOOKUP($X101,Tables!$A$416:$H$427,8,FALSE)</f>
        <v>Smart</v>
      </c>
      <c r="AF101" s="1">
        <f>VLOOKUP($X101,Tables!$A$416:$L$427,9,FALSE)</f>
        <v>12</v>
      </c>
      <c r="AG101" s="1">
        <f>VLOOKUP($X101,Tables!$A$416:$L$427,10,FALSE)</f>
        <v>24</v>
      </c>
      <c r="AH101" s="1">
        <f>VLOOKUP($X101,Tables!$A$416:$L$427,11,FALSE)</f>
        <v>0</v>
      </c>
      <c r="AI101" s="1">
        <f>VLOOKUP($X101,Tables!$A$416:$L$427,12,FALSE)</f>
        <v>2</v>
      </c>
      <c r="AJ101" s="1"/>
      <c r="AK101" s="1">
        <f>G101*AG101</f>
        <v>0</v>
      </c>
      <c r="AL101" s="1">
        <f>G101*AH101</f>
        <v>0</v>
      </c>
      <c r="AM101" s="1">
        <f>G101*AI101*MAX(0, $D$122-AF101 )</f>
        <v>0</v>
      </c>
      <c r="AN101" s="1"/>
      <c r="AO101" s="123">
        <f>VLOOKUP($AQ101,Tables!$A$508:$E$515,5)</f>
        <v>0</v>
      </c>
      <c r="AP101" s="1" t="str">
        <f>VLOOKUP($AQ101,Tables!$A$508:$D$515,2)</f>
        <v>None</v>
      </c>
      <c r="AQ101" s="29">
        <f>MAX(F101-Y101,-3)</f>
        <v>-3</v>
      </c>
      <c r="AR101" s="30">
        <f>VLOOKUP($AQ101,Tables!$A$508:$D$515,3)</f>
        <v>-1</v>
      </c>
      <c r="AS101" s="30">
        <f>VLOOKUP($AQ101,Tables!$A$508:$D$515,4)</f>
        <v>-1</v>
      </c>
      <c r="BG101">
        <f t="shared" si="61"/>
        <v>0</v>
      </c>
    </row>
    <row r="102" spans="1:59">
      <c r="A102" t="s">
        <v>359</v>
      </c>
      <c r="C102" s="80"/>
      <c r="D102" s="3">
        <v>0</v>
      </c>
      <c r="E102" s="41"/>
      <c r="F102" s="4"/>
      <c r="G102" s="3">
        <f>D102</f>
        <v>0</v>
      </c>
      <c r="H102" s="69"/>
      <c r="I102" s="69"/>
      <c r="J102" s="69"/>
      <c r="K102" s="3"/>
      <c r="L102" s="3"/>
      <c r="M102" s="106"/>
      <c r="U102" s="69">
        <f t="shared" si="56"/>
        <v>0</v>
      </c>
      <c r="V102" s="69">
        <f t="shared" si="45"/>
        <v>0</v>
      </c>
      <c r="X102" s="12"/>
      <c r="BG102">
        <f t="shared" si="61"/>
        <v>0</v>
      </c>
    </row>
    <row r="103" spans="1:59">
      <c r="A103" s="22" t="s">
        <v>275</v>
      </c>
      <c r="B103" t="str">
        <f xml:space="preserve"> IF( AO103&lt;&gt;0, CONCATENATE(  IF(AP103="Budget","Budget",AO103),  ":",  IF(O103&gt;0,"Size ",""),  IF(P103&gt;0,"Ene ","")  ), "" )</f>
        <v/>
      </c>
      <c r="C103" s="80"/>
      <c r="D103" s="14">
        <v>0</v>
      </c>
      <c r="E103" s="42">
        <v>0</v>
      </c>
      <c r="F103" s="28">
        <f>MIN(M103,Y103+E103)*(D103&gt;0)</f>
        <v>0</v>
      </c>
      <c r="G103" s="3">
        <f>D103</f>
        <v>0</v>
      </c>
      <c r="H103" s="69">
        <f>G103*Z103*(1+AR103)*( 1 - 10%*MAX(0,MIN(O103,AO103)) + 20%*MAX(0,MIN(O103,-AO103)) )</f>
        <v>0</v>
      </c>
      <c r="I103" s="69">
        <f>G103*AA103*(1+AS103)</f>
        <v>0</v>
      </c>
      <c r="J103" s="69">
        <f>G103*AB103*(H103&gt;0) * ( 1 - 25%*MAX(0,MIN(P103,AO103)) + 30%*MAX(0,MIN(P103,-AO103)) )</f>
        <v>0</v>
      </c>
      <c r="K103" s="3">
        <f>G103*(H103&gt;0)</f>
        <v>0</v>
      </c>
      <c r="L103" s="35">
        <f>G103*(1+1*(Military))*(H103&gt;0)</f>
        <v>0</v>
      </c>
      <c r="M103" s="106">
        <f t="shared" si="44"/>
        <v>12</v>
      </c>
      <c r="N103" s="31" t="str">
        <f>CONCATENATE("Dam: ",AD103)</f>
        <v>Dam: 6D</v>
      </c>
      <c r="O103" s="33">
        <f xml:space="preserve"> IF( OR( A103="Missile", A103="Torpedo" ),  ABS($AO103),  0  )</f>
        <v>0</v>
      </c>
      <c r="P103" s="33">
        <f xml:space="preserve"> IF( AND( $AO103&lt;0,  NOT( OR( A103="Missile", A103="Torpedo" ) ) ),  -$AO103,  0  )</f>
        <v>0</v>
      </c>
      <c r="Q103" s="31"/>
      <c r="R103" s="31"/>
      <c r="S103" s="31"/>
      <c r="T103" s="31"/>
      <c r="U103" s="69">
        <f t="shared" si="56"/>
        <v>0</v>
      </c>
      <c r="V103" s="69">
        <f t="shared" si="45"/>
        <v>0</v>
      </c>
      <c r="X103" s="1" t="str">
        <f>IF(ISNA(VLOOKUP($A103,Tables!$A$430:$H$443,1,FALSE)),"None",VLOOKUP($A103,Tables!$A$430:$H$443,1,FALSE))</f>
        <v>Particle</v>
      </c>
      <c r="Y103" s="1">
        <f>VLOOKUP($X103,Tables!$A$430:$H$443,2,FALSE)</f>
        <v>11</v>
      </c>
      <c r="Z103" s="1">
        <f>VLOOKUP($X103,Tables!$A$430:$H$443,3,FALSE)</f>
        <v>50</v>
      </c>
      <c r="AA103" s="1">
        <f>VLOOKUP($X103,Tables!$A$430:$H$443,4,FALSE)</f>
        <v>20</v>
      </c>
      <c r="AB103" s="1">
        <f>VLOOKUP($X103,Tables!$A$430:$H$443,5,FALSE)</f>
        <v>30</v>
      </c>
      <c r="AC103" s="1" t="str">
        <f>VLOOKUP($X103,Tables!$A$430:$H$443,6,FALSE)</f>
        <v>Very Long</v>
      </c>
      <c r="AD103" s="1" t="str">
        <f>VLOOKUP($X103,Tables!$A$430:$H$443,7,FALSE)</f>
        <v>6D</v>
      </c>
      <c r="AE103" s="1" t="str">
        <f>VLOOKUP($X103,Tables!$A$430:$H$443,8,FALSE)</f>
        <v>Radiation</v>
      </c>
      <c r="AF103" s="1">
        <f>VLOOKUP($X103,Tables!$A$430:$L$443,9,FALSE)</f>
        <v>0</v>
      </c>
      <c r="AG103" s="1">
        <f>VLOOKUP($X103,Tables!$A$430:$L$443,10,FALSE)</f>
        <v>0</v>
      </c>
      <c r="AH103" s="1">
        <f>VLOOKUP($X103,Tables!$A$430:$L$443,11,FALSE)</f>
        <v>0</v>
      </c>
      <c r="AI103" s="1">
        <f>VLOOKUP($X103,Tables!$A$430:$L$443,12,FALSE)</f>
        <v>0</v>
      </c>
      <c r="AJ103" s="1"/>
      <c r="AK103" s="1">
        <f>G103*AG103</f>
        <v>0</v>
      </c>
      <c r="AL103" s="1">
        <f>G103*AH103</f>
        <v>0</v>
      </c>
      <c r="AM103" s="1">
        <f>G103*AI103*MAX(0, $D$122-AF103 )</f>
        <v>0</v>
      </c>
      <c r="AN103" s="1"/>
      <c r="AO103" s="123">
        <f>VLOOKUP($AQ103,Tables!$A$508:$E$515,5)</f>
        <v>0</v>
      </c>
      <c r="AP103" s="1" t="str">
        <f>VLOOKUP($AQ103,Tables!$A$508:$D$515,2)</f>
        <v>None</v>
      </c>
      <c r="AQ103" s="29">
        <f>MAX(F103-Y103,-3)</f>
        <v>-3</v>
      </c>
      <c r="AR103" s="30">
        <f>VLOOKUP($AQ103,Tables!$A$508:$D$515,3)</f>
        <v>-1</v>
      </c>
      <c r="AS103" s="30">
        <f>VLOOKUP($AQ103,Tables!$A$508:$D$515,4)</f>
        <v>-1</v>
      </c>
      <c r="BG103">
        <f t="shared" si="61"/>
        <v>0</v>
      </c>
    </row>
    <row r="104" spans="1:59">
      <c r="A104" s="22" t="s">
        <v>426</v>
      </c>
      <c r="B104" t="str">
        <f xml:space="preserve"> IF( AO104&lt;&gt;0, CONCATENATE(  IF(AP104="Budget","Budget",AO104),  ":",  IF(O104&gt;0,"Size ",""),  IF(P104&gt;0,"Ene ","")  ), "" )</f>
        <v/>
      </c>
      <c r="C104" s="80"/>
      <c r="D104" s="14">
        <v>0</v>
      </c>
      <c r="E104" s="42">
        <v>0</v>
      </c>
      <c r="F104" s="28">
        <f>MIN(M104,Y104+E104)*(D104&gt;0)</f>
        <v>0</v>
      </c>
      <c r="G104" s="3">
        <f>D104</f>
        <v>0</v>
      </c>
      <c r="H104" s="69">
        <f>G104*Z104*(1+AR104)*( 1 - 10%*MAX(0,MIN(O104,AO104)) + 20%*MAX(0,MIN(O104,-AO104)) )</f>
        <v>0</v>
      </c>
      <c r="I104" s="69">
        <f>G104*AA104*(1+AS104)</f>
        <v>0</v>
      </c>
      <c r="J104" s="69">
        <f>G104*AB104*(H104&gt;0) * ( 1 - 25%*MAX(0,MIN(P104,AO104)) + 30%*MAX(0,MIN(P104,-AO104)) )</f>
        <v>0</v>
      </c>
      <c r="K104" s="3">
        <f>G104*(H104&gt;0)</f>
        <v>0</v>
      </c>
      <c r="L104" s="35">
        <f>G104*(1+1*(Military))*(H104&gt;0)</f>
        <v>0</v>
      </c>
      <c r="M104" s="106">
        <f t="shared" si="44"/>
        <v>12</v>
      </c>
      <c r="N104" s="31" t="str">
        <f>CONCATENATE("Dam: ",AD104)</f>
        <v xml:space="preserve">Dam: </v>
      </c>
      <c r="O104" s="33">
        <f xml:space="preserve"> IF( OR( A104="Missile", A104="Torpedo" ),  ABS($AO104),  0  )</f>
        <v>0</v>
      </c>
      <c r="P104" s="33">
        <f xml:space="preserve"> IF( AND( $AO104&lt;0,  NOT( OR( A104="Missile", A104="Torpedo" ) ) ),  -$AO104,  0  )</f>
        <v>0</v>
      </c>
      <c r="Q104" s="31"/>
      <c r="R104" s="31"/>
      <c r="S104" s="31"/>
      <c r="T104" s="31"/>
      <c r="U104" s="69">
        <f t="shared" si="56"/>
        <v>0</v>
      </c>
      <c r="V104" s="69">
        <f t="shared" si="45"/>
        <v>0</v>
      </c>
      <c r="X104" s="1" t="str">
        <f>IF(ISNA(VLOOKUP($A104,Tables!$A$430:$H$443,1,FALSE)),"None",VLOOKUP($A104,Tables!$A$430:$H$443,1,FALSE))</f>
        <v>Missile</v>
      </c>
      <c r="Y104" s="1">
        <f>VLOOKUP($X104,Tables!$A$430:$H$443,2,FALSE)</f>
        <v>7</v>
      </c>
      <c r="Z104" s="1">
        <f>VLOOKUP($X104,Tables!$A$430:$H$443,3,FALSE)</f>
        <v>50</v>
      </c>
      <c r="AA104" s="1">
        <f>VLOOKUP($X104,Tables!$A$430:$H$443,4,FALSE)</f>
        <v>12</v>
      </c>
      <c r="AB104" s="1">
        <f>VLOOKUP($X104,Tables!$A$430:$H$443,5,FALSE)</f>
        <v>5</v>
      </c>
      <c r="AC104" s="1" t="str">
        <f>VLOOKUP($X104,Tables!$A$430:$H$443,6,FALSE)</f>
        <v/>
      </c>
      <c r="AD104" s="1" t="str">
        <f>VLOOKUP($X104,Tables!$A$430:$H$443,7,FALSE)</f>
        <v/>
      </c>
      <c r="AE104" s="1" t="str">
        <f>VLOOKUP($X104,Tables!$A$430:$H$443,8,FALSE)</f>
        <v>Smart</v>
      </c>
      <c r="AF104" s="1">
        <f>VLOOKUP($X104,Tables!$A$430:$L$443,9,FALSE)</f>
        <v>12</v>
      </c>
      <c r="AG104" s="1">
        <f>VLOOKUP($X104,Tables!$A$430:$L$443,10,FALSE)</f>
        <v>12</v>
      </c>
      <c r="AH104" s="1">
        <f>VLOOKUP($X104,Tables!$A$430:$L$443,11,FALSE)</f>
        <v>0</v>
      </c>
      <c r="AI104" s="1">
        <f>VLOOKUP($X104,Tables!$A$430:$L$443,12,FALSE)</f>
        <v>1</v>
      </c>
      <c r="AJ104" s="1"/>
      <c r="AK104" s="1">
        <f>G104*AG104</f>
        <v>0</v>
      </c>
      <c r="AL104" s="1">
        <f>G104*AH104</f>
        <v>0</v>
      </c>
      <c r="AM104" s="1">
        <f>G104*AI104*MAX(0, $D$122-AF104 )</f>
        <v>0</v>
      </c>
      <c r="AN104" s="1"/>
      <c r="AO104" s="123">
        <f>VLOOKUP($AQ104,Tables!$A$508:$E$515,5)</f>
        <v>0</v>
      </c>
      <c r="AP104" s="1" t="str">
        <f>VLOOKUP($AQ104,Tables!$A$508:$D$515,2)</f>
        <v>None</v>
      </c>
      <c r="AQ104" s="29">
        <f>MAX(F104-Y104,-3)</f>
        <v>-3</v>
      </c>
      <c r="AR104" s="30">
        <f>VLOOKUP($AQ104,Tables!$A$508:$D$515,3)</f>
        <v>-1</v>
      </c>
      <c r="AS104" s="30">
        <f>VLOOKUP($AQ104,Tables!$A$508:$D$515,4)</f>
        <v>-1</v>
      </c>
      <c r="BG104">
        <f t="shared" si="61"/>
        <v>0</v>
      </c>
    </row>
    <row r="105" spans="1:59">
      <c r="A105" t="s">
        <v>797</v>
      </c>
      <c r="C105" s="80"/>
      <c r="D105" s="3"/>
      <c r="E105" s="41"/>
      <c r="F105" s="4"/>
      <c r="G105" s="3"/>
      <c r="H105" s="69"/>
      <c r="I105" s="69"/>
      <c r="J105" s="69"/>
      <c r="K105" s="3"/>
      <c r="L105" s="3"/>
      <c r="M105" s="106"/>
      <c r="U105" s="69">
        <f t="shared" si="56"/>
        <v>0</v>
      </c>
      <c r="V105" s="69">
        <f t="shared" si="45"/>
        <v>0</v>
      </c>
      <c r="X105" s="12"/>
      <c r="BG105">
        <f t="shared" si="61"/>
        <v>0</v>
      </c>
    </row>
    <row r="106" spans="1:59">
      <c r="A106" s="22" t="s">
        <v>608</v>
      </c>
      <c r="B106" t="str">
        <f xml:space="preserve"> IF( AO106&lt;&gt;0, CONCATENATE(  IF(AP106="Budget","Budget",AO106),  ":",  IF(O106&gt;0,"Size ",""),  IF(P106&gt;0,"Ene ","")  ), "" )</f>
        <v/>
      </c>
      <c r="C106" s="80"/>
      <c r="D106" s="14">
        <v>0</v>
      </c>
      <c r="E106" s="42">
        <v>0</v>
      </c>
      <c r="F106" s="28">
        <f>MIN(M106,Y106+E106)*(D106&gt;0)</f>
        <v>0</v>
      </c>
      <c r="G106" s="3">
        <f>D106</f>
        <v>0</v>
      </c>
      <c r="H106" s="69">
        <f>G106*Z106*(1+AR106)*( 1 - 10%*MAX(0,MIN(O106,AO106)) + 20%*MAX(0,MIN(O106,-AO106)) )</f>
        <v>0</v>
      </c>
      <c r="I106" s="69">
        <f>G106*AA106*(1+AS106)</f>
        <v>0</v>
      </c>
      <c r="J106" s="69">
        <f>G106*AB106*(H106&gt;0) * ( 1 - 25%*MAX(0,MIN(P106,AO106)) + 30%*MAX(0,MIN(P106,-AO106)) )</f>
        <v>0</v>
      </c>
      <c r="K106" s="3">
        <f>G106*IF( Hull&lt;100, 2, 1 )*(H106&gt;0)</f>
        <v>0</v>
      </c>
      <c r="L106" s="35">
        <f>G106*(1+1*(Military))*(H106&gt;0)</f>
        <v>0</v>
      </c>
      <c r="M106" s="106">
        <f t="shared" si="44"/>
        <v>12</v>
      </c>
      <c r="N106" s="31" t="str">
        <f>CONCATENATE("Dam: ",AD106)</f>
        <v>Dam: 4D</v>
      </c>
      <c r="O106" s="33">
        <f xml:space="preserve"> IF( OR( A106="Missile", A106="Torpedo" ),  ABS($AO106),  0  )</f>
        <v>0</v>
      </c>
      <c r="P106" s="33">
        <f xml:space="preserve"> IF( AND( $AO106&lt;0,  NOT( OR( A106="Missile", A106="Torpedo" ) ) ),  -$AO106,  0  )</f>
        <v>0</v>
      </c>
      <c r="Q106" s="31"/>
      <c r="R106" s="31"/>
      <c r="S106" s="31"/>
      <c r="T106" s="31"/>
      <c r="U106" s="69">
        <f t="shared" si="56"/>
        <v>0</v>
      </c>
      <c r="V106" s="69">
        <f t="shared" si="45"/>
        <v>0</v>
      </c>
      <c r="X106" s="1" t="str">
        <f>IF(ISNA(VLOOKUP($A106,Tables!$A$446:$H$456,1,FALSE)),"None",VLOOKUP($A106,Tables!$A$446:$H$456,1,FALSE))</f>
        <v>Particle</v>
      </c>
      <c r="Y106" s="1">
        <f>VLOOKUP($X106,Tables!$A$446:$H$456,2,FALSE)</f>
        <v>11</v>
      </c>
      <c r="Z106" s="1">
        <f>VLOOKUP($X106,Tables!$A$446:$H$456,3,FALSE)</f>
        <v>5</v>
      </c>
      <c r="AA106" s="1">
        <f>VLOOKUP($X106,Tables!$A$446:$H$456,4,FALSE)</f>
        <v>8</v>
      </c>
      <c r="AB106" s="1">
        <f>VLOOKUP($X106,Tables!$A$446:$H$456,5,FALSE)</f>
        <v>15</v>
      </c>
      <c r="AC106" s="1" t="str">
        <f>VLOOKUP($X106,Tables!$A$446:$H$456,6,FALSE)</f>
        <v>Very Long</v>
      </c>
      <c r="AD106" s="1" t="str">
        <f>VLOOKUP($X106,Tables!$A$446:$H$456,7,FALSE)</f>
        <v>4D</v>
      </c>
      <c r="AE106" s="1" t="str">
        <f>VLOOKUP($X106,Tables!$A$446:$H$456,8,FALSE)</f>
        <v>Radiation</v>
      </c>
      <c r="AF106" s="1">
        <f>VLOOKUP($X106,Tables!$A$446:$L$456,9,FALSE)</f>
        <v>0</v>
      </c>
      <c r="AG106" s="1">
        <f>VLOOKUP($X106,Tables!$A$446:$L$456,10,FALSE)</f>
        <v>0</v>
      </c>
      <c r="AH106" s="1">
        <f>VLOOKUP($X106,Tables!$A$446:$L$456,11,FALSE)</f>
        <v>0</v>
      </c>
      <c r="AI106" s="1">
        <f>VLOOKUP($X106,Tables!$A$446:$L$456,12,FALSE)</f>
        <v>0</v>
      </c>
      <c r="AJ106" s="1"/>
      <c r="AK106" s="1">
        <f>G106*AG106</f>
        <v>0</v>
      </c>
      <c r="AL106" s="1">
        <f>G106*AH106</f>
        <v>0</v>
      </c>
      <c r="AM106" s="1">
        <f>G106*AI106*MAX(0, $D$122-AF106 )</f>
        <v>0</v>
      </c>
      <c r="AN106" s="1"/>
      <c r="AO106" s="123">
        <f>VLOOKUP($AQ106,Tables!$A$508:$E$515,5)</f>
        <v>0</v>
      </c>
      <c r="AP106" s="1" t="str">
        <f>VLOOKUP($AQ106,Tables!$A$508:$D$515,2)</f>
        <v>None</v>
      </c>
      <c r="AQ106" s="29">
        <f>MAX(F106-Y106,-3)</f>
        <v>-3</v>
      </c>
      <c r="AR106" s="30">
        <f>VLOOKUP($AQ106,Tables!$A$508:$D$515,3)</f>
        <v>-1</v>
      </c>
      <c r="AS106" s="30">
        <f>VLOOKUP($AQ106,Tables!$A$508:$D$515,4)</f>
        <v>-1</v>
      </c>
      <c r="BG106">
        <f t="shared" si="61"/>
        <v>0</v>
      </c>
    </row>
    <row r="107" spans="1:59">
      <c r="A107" s="22" t="s">
        <v>426</v>
      </c>
      <c r="B107" t="str">
        <f xml:space="preserve"> IF( AO107&lt;&gt;0, CONCATENATE(  IF(AP107="Budget","Budget",AO107),  ":",  IF(O107&gt;0,"Size ",""),  IF(P107&gt;0,"Ene ","")  ), "" )</f>
        <v/>
      </c>
      <c r="C107" s="80"/>
      <c r="D107" s="14">
        <v>0</v>
      </c>
      <c r="E107" s="42">
        <v>0</v>
      </c>
      <c r="F107" s="28">
        <f>MIN(M107,Y107+E107)*(D107&gt;0)</f>
        <v>0</v>
      </c>
      <c r="G107" s="3">
        <f>D107</f>
        <v>0</v>
      </c>
      <c r="H107" s="69">
        <f>G107*Z107*(1+AR107)*( 1 - 10%*MAX(0,MIN(O107,AO107)) + 20%*MAX(0,MIN(O107,-AO107)) )</f>
        <v>0</v>
      </c>
      <c r="I107" s="69">
        <f>G107*AA107*(1+AS107)</f>
        <v>0</v>
      </c>
      <c r="J107" s="69">
        <f>G107*AB107*(H107&gt;0) * ( 1 - 25%*MAX(0,MIN(P107,AO107)) + 30%*MAX(0,MIN(P107,-AO107)) )</f>
        <v>0</v>
      </c>
      <c r="K107" s="71">
        <f>G107*IF( Hull&lt;100, 2, 1 )*(H107&gt;0)</f>
        <v>0</v>
      </c>
      <c r="L107" s="35">
        <f>G107*(1+1*(Military))*(H107&gt;0)</f>
        <v>0</v>
      </c>
      <c r="M107" s="106">
        <f t="shared" si="44"/>
        <v>12</v>
      </c>
      <c r="N107" s="31" t="str">
        <f>CONCATENATE("Dam: ",AD107)</f>
        <v xml:space="preserve">Dam: </v>
      </c>
      <c r="O107" s="33">
        <f xml:space="preserve"> IF( OR( A107="Missile", A107="Torpedo" ),  ABS($AO107),  0  )</f>
        <v>0</v>
      </c>
      <c r="P107" s="33">
        <f xml:space="preserve"> IF( AND( $AO107&lt;0,  NOT( OR( A107="Missile", A107="Torpedo" ) ) ),  -$AO107,  0  )</f>
        <v>0</v>
      </c>
      <c r="Q107" s="31"/>
      <c r="R107" s="31"/>
      <c r="S107" s="31"/>
      <c r="T107" s="31"/>
      <c r="U107" s="69">
        <f t="shared" si="56"/>
        <v>0</v>
      </c>
      <c r="V107" s="69">
        <f t="shared" si="45"/>
        <v>0</v>
      </c>
      <c r="X107" s="1" t="str">
        <f>IF(ISNA(VLOOKUP($A107,Tables!$A$446:$H$456,1,FALSE)),"None",VLOOKUP($A107,Tables!$A$446:$H$456,1,FALSE))</f>
        <v>Missile</v>
      </c>
      <c r="Y107" s="1">
        <f>VLOOKUP($X107,Tables!$A$446:$H$456,2,FALSE)</f>
        <v>7</v>
      </c>
      <c r="Z107" s="1">
        <f>VLOOKUP($X107,Tables!$A$446:$H$456,3,FALSE)</f>
        <v>5</v>
      </c>
      <c r="AA107" s="1">
        <f>VLOOKUP($X107,Tables!$A$446:$H$456,4,FALSE)</f>
        <v>4</v>
      </c>
      <c r="AB107" s="1">
        <f>VLOOKUP($X107,Tables!$A$446:$H$456,5,FALSE)</f>
        <v>0</v>
      </c>
      <c r="AC107" s="1" t="str">
        <f>VLOOKUP($X107,Tables!$A$446:$H$456,6,FALSE)</f>
        <v/>
      </c>
      <c r="AD107" s="1" t="str">
        <f>VLOOKUP($X107,Tables!$A$446:$H$456,7,FALSE)</f>
        <v/>
      </c>
      <c r="AE107" s="1" t="str">
        <f>VLOOKUP($X107,Tables!$A$446:$H$456,8,FALSE)</f>
        <v>Smart</v>
      </c>
      <c r="AF107" s="1">
        <f>VLOOKUP($X107,Tables!$A$446:$L$456,9,FALSE)</f>
        <v>5</v>
      </c>
      <c r="AG107" s="1">
        <f>VLOOKUP($X107,Tables!$A$446:$L$456,10,FALSE)</f>
        <v>5</v>
      </c>
      <c r="AH107" s="1">
        <f>VLOOKUP($X107,Tables!$A$446:$L$456,11,FALSE)</f>
        <v>0</v>
      </c>
      <c r="AI107" s="1">
        <f>VLOOKUP($X107,Tables!$A$446:$L$456,12,FALSE)</f>
        <v>0.41666666666666669</v>
      </c>
      <c r="AJ107" s="1"/>
      <c r="AK107" s="1">
        <f>G107*AG107</f>
        <v>0</v>
      </c>
      <c r="AL107" s="1">
        <f>G107*AH107</f>
        <v>0</v>
      </c>
      <c r="AM107" s="1">
        <f>G107*AI107*MAX(0, $D$122-AF107 )</f>
        <v>0</v>
      </c>
      <c r="AN107" s="1"/>
      <c r="AO107" s="123">
        <f>VLOOKUP($AQ107,Tables!$A$508:$E$515,5)</f>
        <v>0</v>
      </c>
      <c r="AP107" s="1" t="str">
        <f>VLOOKUP($AQ107,Tables!$A$508:$D$515,2)</f>
        <v>None</v>
      </c>
      <c r="AQ107" s="29">
        <f>MAX(F107-Y107,-3)</f>
        <v>-3</v>
      </c>
      <c r="AR107" s="30">
        <f>VLOOKUP($AQ107,Tables!$A$508:$D$515,3)</f>
        <v>-1</v>
      </c>
      <c r="AS107" s="30">
        <f>VLOOKUP($AQ107,Tables!$A$508:$D$515,4)</f>
        <v>-1</v>
      </c>
      <c r="BG107">
        <f t="shared" si="61"/>
        <v>0</v>
      </c>
    </row>
    <row r="108" spans="1:59">
      <c r="A108" t="s">
        <v>626</v>
      </c>
      <c r="C108" s="80"/>
      <c r="D108" s="3"/>
      <c r="E108" s="41"/>
      <c r="F108" s="53" t="s">
        <v>563</v>
      </c>
      <c r="G108" s="3"/>
      <c r="H108" s="69"/>
      <c r="I108" s="69"/>
      <c r="J108" s="69"/>
      <c r="K108" s="3"/>
      <c r="L108" s="3"/>
      <c r="M108" s="106"/>
      <c r="U108" s="69">
        <f t="shared" si="56"/>
        <v>0</v>
      </c>
      <c r="V108" s="69">
        <f t="shared" si="45"/>
        <v>0</v>
      </c>
      <c r="X108" s="12"/>
      <c r="AU108" s="21" t="s">
        <v>270</v>
      </c>
      <c r="AV108" t="s">
        <v>386</v>
      </c>
      <c r="AW108" s="1" t="s">
        <v>696</v>
      </c>
      <c r="AX108" s="1" t="s">
        <v>400</v>
      </c>
      <c r="AY108" s="1" t="s">
        <v>620</v>
      </c>
      <c r="AZ108" s="1" t="s">
        <v>244</v>
      </c>
      <c r="BA108" s="1"/>
      <c r="BB108" s="1" t="s">
        <v>464</v>
      </c>
      <c r="BC108" s="1" t="s">
        <v>464</v>
      </c>
      <c r="BD108" s="1" t="s">
        <v>400</v>
      </c>
      <c r="BE108" s="1" t="s">
        <v>620</v>
      </c>
      <c r="BG108">
        <f t="shared" si="61"/>
        <v>0</v>
      </c>
    </row>
    <row r="109" spans="1:59">
      <c r="A109" s="22" t="s">
        <v>488</v>
      </c>
      <c r="B109" t="str">
        <f xml:space="preserve"> CONCATENATE(    IF(BB109&gt;0,BC109,""),  IF( AO109&lt;&gt;0, CONCATENATE(  IF(AP109="Budget","Budget",AO109),  ":",  IF(O109&gt;0,"Size ",""),  IF(P109&gt;0,"Ene ","")  ), "" )  )</f>
        <v/>
      </c>
      <c r="C109" s="80"/>
      <c r="D109" s="14">
        <v>0</v>
      </c>
      <c r="E109" s="42">
        <v>0</v>
      </c>
      <c r="F109" s="107">
        <f>(D109&gt;0)*IF( Hull&lt;100, 1, 3 )</f>
        <v>0</v>
      </c>
      <c r="G109" s="3">
        <f t="shared" ref="G109:G117" si="62">D109</f>
        <v>0</v>
      </c>
      <c r="H109" s="69">
        <f>G109*(AX109)*(1+AR109)*( 1 - 10%*MAX(0,MIN(O109,AO109)) + 20%*MAX(0,MIN(O109,-AO109)) )</f>
        <v>0</v>
      </c>
      <c r="I109" s="69">
        <f>G109*(AY109+W109*AA109)*(1+AS109)</f>
        <v>0</v>
      </c>
      <c r="J109" s="69">
        <f>G109*(AZ109+W109*AB109*(1-0.25*(Hull&lt;100))) * ( 1 - 25%*MAX(0,MIN(P109,AO109)) + 30%*MAX(0,MIN(P109,-AO109)) )</f>
        <v>0</v>
      </c>
      <c r="K109" s="3">
        <f>G109*(H109&gt;0)</f>
        <v>0</v>
      </c>
      <c r="L109" s="3">
        <f>G109*(1+1*(Military))*(H109&gt;0)</f>
        <v>0</v>
      </c>
      <c r="M109" s="106">
        <f t="shared" si="44"/>
        <v>12</v>
      </c>
      <c r="N109" s="31" t="str">
        <f>CONCATENATE("Dam: ",AD109,"D",IF(Hull&gt;=100,CONCATENATE("+",(W109-1)*AD109),""))</f>
        <v>Dam: 2D+-2</v>
      </c>
      <c r="O109" s="33">
        <f xml:space="preserve"> IF( OR( A109="Missile", A109="Torpedo" ),  ABS($AO109),  0  )</f>
        <v>0</v>
      </c>
      <c r="P109" s="33">
        <f xml:space="preserve"> IF( AND( $AO109&lt;0,  NOT( OR( A109="Missile", A109="Torpedo" ) ) ),  -$AO109,  0  )</f>
        <v>0</v>
      </c>
      <c r="Q109" s="31"/>
      <c r="R109" s="31"/>
      <c r="S109" s="31"/>
      <c r="T109" s="31"/>
      <c r="U109" s="69">
        <f t="shared" si="56"/>
        <v>0</v>
      </c>
      <c r="V109" s="69">
        <f t="shared" si="45"/>
        <v>0</v>
      </c>
      <c r="W109">
        <f xml:space="preserve"> MAX(  0,  MIN( ABS(F109), IF( Hull&lt;100, 1, LOOKUP($M109,Tables!$C$471:$C$475,Tables!$A$471:$A$475) ) )  )</f>
        <v>0</v>
      </c>
      <c r="X109" s="1" t="str">
        <f>IF(ISNA(VLOOKUP($A109,Tables!$A$459:$H$468,1,FALSE)),"None",VLOOKUP($A109,Tables!$A$459:$H$468,1,FALSE))</f>
        <v>Pulse Laser</v>
      </c>
      <c r="Y109" s="1">
        <f>VLOOKUP($X109,Tables!$A$459:$H$468,2,FALSE)</f>
        <v>9</v>
      </c>
      <c r="Z109" s="1">
        <f>VLOOKUP($X109,Tables!$A$459:$H$468,3,FALSE)</f>
        <v>0</v>
      </c>
      <c r="AA109" s="1">
        <f>VLOOKUP($X109,Tables!$A$459:$H$468,4,FALSE)</f>
        <v>1</v>
      </c>
      <c r="AB109" s="1">
        <f>VLOOKUP($X109,Tables!$A$459:$H$468,5,FALSE)</f>
        <v>4</v>
      </c>
      <c r="AC109" s="1" t="str">
        <f>VLOOKUP($X109,Tables!$A$459:$H$468,6,FALSE)</f>
        <v>Long</v>
      </c>
      <c r="AD109" s="1">
        <f>VLOOKUP($X109,Tables!$A$459:$H$468,7,FALSE)</f>
        <v>2</v>
      </c>
      <c r="AE109" s="1" t="str">
        <f>VLOOKUP($X109,Tables!$A$459:$H$468,8,FALSE)</f>
        <v>ToHit+2</v>
      </c>
      <c r="AF109" s="1">
        <f>VLOOKUP($X109,Tables!$A$459:$L$468,9,FALSE)</f>
        <v>0</v>
      </c>
      <c r="AG109" s="1">
        <f>VLOOKUP($X109,Tables!$A$459:$L$468,10,FALSE)</f>
        <v>0</v>
      </c>
      <c r="AH109" s="1">
        <f>VLOOKUP($X109,Tables!$A$459:$L$468,11,FALSE)</f>
        <v>0</v>
      </c>
      <c r="AI109" s="1">
        <f>VLOOKUP($X109,Tables!$A$459:$L$468,12,FALSE)</f>
        <v>0</v>
      </c>
      <c r="AJ109" s="25">
        <f>G109</f>
        <v>0</v>
      </c>
      <c r="AK109" s="1">
        <f>W109*G109*AG109</f>
        <v>0</v>
      </c>
      <c r="AL109" s="1">
        <f>G109*AH109</f>
        <v>0</v>
      </c>
      <c r="AM109" s="1">
        <f>G109*W109*AI109*MAX(0, $D$122-AF109 )</f>
        <v>0</v>
      </c>
      <c r="AN109" s="25">
        <f>IF(  OR( A109="Pulse Laser", A109="Beam Laser" ), G109*(3+W109),  0  )</f>
        <v>0</v>
      </c>
      <c r="AO109" s="123">
        <f>VLOOKUP($AQ109,Tables!$A$508:$E$515,5)</f>
        <v>0</v>
      </c>
      <c r="AP109" s="1" t="str">
        <f>VLOOKUP($AQ109,Tables!$A$508:$D$515,2)</f>
        <v>Standard</v>
      </c>
      <c r="AQ109" s="29">
        <f>MAX( MIN( M109-MAX(Y109,AW109), E109), -3 )</f>
        <v>0</v>
      </c>
      <c r="AR109" s="30">
        <f>VLOOKUP($AQ109,Tables!$A$508:$D$515,3)</f>
        <v>0</v>
      </c>
      <c r="AS109" s="30">
        <f>VLOOKUP($AQ109,Tables!$A$508:$D$515,4)</f>
        <v>0</v>
      </c>
      <c r="AU109" s="21">
        <f>VLOOKUP( $W109, Tables!$A$471:$F$475, 1 )</f>
        <v>0</v>
      </c>
      <c r="AV109" t="str">
        <f>VLOOKUP( $W109, Tables!$A$471:$F$475, 2 )</f>
        <v>None</v>
      </c>
      <c r="AW109">
        <f xml:space="preserve"> IF( BB116&gt;0, 10, VLOOKUP( $W109, Tables!$A$471:$F$475, 3 ) )</f>
        <v>0</v>
      </c>
      <c r="AX109">
        <f>VLOOKUP( $W109, Tables!$A$471:$F$475, 4 ) + BD109</f>
        <v>0</v>
      </c>
      <c r="AY109">
        <f>VLOOKUP( $W109, Tables!$A$471:$F$475, 5 ) + BE109</f>
        <v>0</v>
      </c>
      <c r="AZ109">
        <f>VLOOKUP( $W109, Tables!$A$471:$F$475, 6 )</f>
        <v>0</v>
      </c>
      <c r="BB109">
        <f xml:space="preserve"> 1*(F109&lt;0)*(M109&gt;=10)</f>
        <v>0</v>
      </c>
      <c r="BC109" t="str">
        <f>IF( BB109&gt;0, "Pop-up ", "" )</f>
        <v/>
      </c>
      <c r="BD109">
        <f>BB109*1</f>
        <v>0</v>
      </c>
      <c r="BE109">
        <f>BB109*1</f>
        <v>0</v>
      </c>
      <c r="BG109">
        <f t="shared" si="61"/>
        <v>0</v>
      </c>
    </row>
    <row r="110" spans="1:59">
      <c r="A110" s="22" t="s">
        <v>426</v>
      </c>
      <c r="B110" t="str">
        <f xml:space="preserve"> CONCATENATE(    IF(BB110&gt;0,BC110,""),  IF( AO110&lt;&gt;0, CONCATENATE(  IF(AP110="Budget","Budget",AO110),  ":",  IF(O110&gt;0,"Size ",""),  IF(P110&gt;0,"Ene ","")  ), "" )  )</f>
        <v/>
      </c>
      <c r="C110" s="80"/>
      <c r="D110" s="14">
        <v>0</v>
      </c>
      <c r="E110" s="42">
        <v>0</v>
      </c>
      <c r="F110" s="107">
        <f>(D110&gt;0)*IF( Hull&lt;100, 1, 3 )</f>
        <v>0</v>
      </c>
      <c r="G110" s="35">
        <f t="shared" si="62"/>
        <v>0</v>
      </c>
      <c r="H110" s="69">
        <f>G110*(AX110)*(1+AR110)*( 1 - 10%*MAX(0,MIN(O110,AO110)) + 20%*MAX(0,MIN(O110,-AO110)) )</f>
        <v>0</v>
      </c>
      <c r="I110" s="69">
        <f>G110*(AY110+W110*AA110)*(1+AS110)</f>
        <v>0</v>
      </c>
      <c r="J110" s="69">
        <f>G110*(AZ110+W110*AB110*(1-0.25*(Hull&lt;100))) * ( 1 - 25%*MAX(0,MIN(P110,AO110)) + 30%*MAX(0,MIN(P110,-AO110)) )</f>
        <v>0</v>
      </c>
      <c r="K110" s="35">
        <f>G110*(H110&gt;0)</f>
        <v>0</v>
      </c>
      <c r="L110" s="35">
        <f>G110*(1+1*(Military))*(H110&gt;0)</f>
        <v>0</v>
      </c>
      <c r="M110" s="106">
        <f t="shared" si="44"/>
        <v>12</v>
      </c>
      <c r="N110" s="31" t="str">
        <f>CONCATENATE("Dam: ",AD110,"D",IF(Hull&gt;=100,CONCATENATE("+",(W110-1)*AD110),""))</f>
        <v>Dam: 0D+0</v>
      </c>
      <c r="O110" s="33">
        <f xml:space="preserve"> IF( OR( A110="Missile", A110="Torpedo" ),  ABS($AO110),  0  )</f>
        <v>0</v>
      </c>
      <c r="P110" s="33">
        <f xml:space="preserve"> IF( AND( $AO110&lt;0,  NOT( OR( A110="Missile", A110="Torpedo" ) ) ),  -$AO110,  0  )</f>
        <v>0</v>
      </c>
      <c r="Q110" s="31"/>
      <c r="R110" s="31"/>
      <c r="S110" s="31"/>
      <c r="T110" s="31"/>
      <c r="U110" s="69">
        <f t="shared" si="56"/>
        <v>0</v>
      </c>
      <c r="V110" s="69">
        <f t="shared" si="45"/>
        <v>0</v>
      </c>
      <c r="W110">
        <f xml:space="preserve"> MAX(  0,  MIN( ABS(F110), IF( Hull&lt;100, 1, LOOKUP($M110,Tables!$C$471:$C$475,Tables!$A$471:$A$475) ) )  )</f>
        <v>0</v>
      </c>
      <c r="X110" s="1" t="str">
        <f>IF(ISNA(VLOOKUP($A110,Tables!$A$459:$H$468,1,FALSE)),"None",VLOOKUP($A110,Tables!$A$459:$H$468,1,FALSE))</f>
        <v>Missile</v>
      </c>
      <c r="Y110" s="1">
        <f>VLOOKUP($X110,Tables!$A$459:$H$468,2,FALSE)</f>
        <v>7</v>
      </c>
      <c r="Z110" s="1">
        <f>VLOOKUP($X110,Tables!$A$459:$H$468,3,FALSE)</f>
        <v>0</v>
      </c>
      <c r="AA110" s="1">
        <f>VLOOKUP($X110,Tables!$A$459:$H$468,4,FALSE)</f>
        <v>0.75</v>
      </c>
      <c r="AB110" s="1">
        <f>VLOOKUP($X110,Tables!$A$459:$H$468,5,FALSE)</f>
        <v>0</v>
      </c>
      <c r="AC110" s="1">
        <f>VLOOKUP($X110,Tables!$A$459:$H$468,6,FALSE)</f>
        <v>0</v>
      </c>
      <c r="AD110" s="1">
        <f>VLOOKUP($X110,Tables!$A$459:$H$468,7,FALSE)</f>
        <v>0</v>
      </c>
      <c r="AE110" s="1" t="str">
        <f>VLOOKUP($X110,Tables!$A$459:$H$468,8,FALSE)</f>
        <v>Smart</v>
      </c>
      <c r="AF110" s="1">
        <f>VLOOKUP($X110,Tables!$A$459:$L$468,9,FALSE)</f>
        <v>12</v>
      </c>
      <c r="AG110" s="1">
        <f>VLOOKUP($X110,Tables!$A$459:$L$468,10,FALSE)</f>
        <v>1</v>
      </c>
      <c r="AH110" s="1">
        <f>VLOOKUP($X110,Tables!$A$459:$L$468,11,FALSE)</f>
        <v>0</v>
      </c>
      <c r="AI110" s="1">
        <f>VLOOKUP($X110,Tables!$A$459:$L$468,12,FALSE)</f>
        <v>8.3333333333333329E-2</v>
      </c>
      <c r="AJ110" s="25">
        <f t="shared" ref="AJ110:AJ111" si="63">G110</f>
        <v>0</v>
      </c>
      <c r="AK110" s="1">
        <f>W110*G110*AG110</f>
        <v>0</v>
      </c>
      <c r="AL110" s="1">
        <f>G110*AH110</f>
        <v>0</v>
      </c>
      <c r="AM110" s="1">
        <f>G110*W110*AI110*MAX(0, $D$122-AF110 )</f>
        <v>0</v>
      </c>
      <c r="AN110" s="25">
        <f>IF(  OR( A110="Pulse Laser", A110="Beam Laser" ), G110*(3+W110),  0  )</f>
        <v>0</v>
      </c>
      <c r="AO110" s="123">
        <f>VLOOKUP($AQ110,Tables!$A$508:$E$515,5)</f>
        <v>0</v>
      </c>
      <c r="AP110" s="1" t="str">
        <f>VLOOKUP($AQ110,Tables!$A$508:$D$515,2)</f>
        <v>Standard</v>
      </c>
      <c r="AQ110" s="29">
        <f>MAX( MIN( M110-MAX(Y110,AW110), E110), -3 )</f>
        <v>0</v>
      </c>
      <c r="AR110" s="30">
        <f>VLOOKUP($AQ110,Tables!$A$508:$D$515,3)</f>
        <v>0</v>
      </c>
      <c r="AS110" s="30">
        <f>VLOOKUP($AQ110,Tables!$A$508:$D$515,4)</f>
        <v>0</v>
      </c>
      <c r="AU110" s="21">
        <f>VLOOKUP( $W110, Tables!$A$471:$F$475, 1 )</f>
        <v>0</v>
      </c>
      <c r="AV110" t="str">
        <f>VLOOKUP( $W110, Tables!$A$471:$F$475, 2 )</f>
        <v>None</v>
      </c>
      <c r="AW110">
        <f xml:space="preserve"> IF( BB117&gt;0, 10, VLOOKUP( $W110, Tables!$A$471:$F$475, 3 ) )</f>
        <v>0</v>
      </c>
      <c r="AX110">
        <f>VLOOKUP( $W110, Tables!$A$471:$F$475, 4 ) + BD110</f>
        <v>0</v>
      </c>
      <c r="AY110">
        <f>VLOOKUP( $W110, Tables!$A$471:$F$475, 5 ) + BE110</f>
        <v>0</v>
      </c>
      <c r="AZ110">
        <f>VLOOKUP( $W110, Tables!$A$471:$F$475, 6 )</f>
        <v>0</v>
      </c>
      <c r="BB110">
        <f t="shared" ref="BB110:BB111" si="64" xml:space="preserve"> 1*(F110&lt;0)*(M110&gt;=10)</f>
        <v>0</v>
      </c>
      <c r="BC110" t="str">
        <f t="shared" ref="BC110:BC111" si="65">IF( BB110&gt;0, "Pop-up ", "" )</f>
        <v/>
      </c>
      <c r="BD110">
        <f t="shared" ref="BD110:BD111" si="66">BB110*1</f>
        <v>0</v>
      </c>
      <c r="BE110">
        <f t="shared" ref="BE110:BE111" si="67">BB110*1</f>
        <v>0</v>
      </c>
      <c r="BG110">
        <f t="shared" si="61"/>
        <v>0</v>
      </c>
    </row>
    <row r="111" spans="1:59">
      <c r="A111" t="s">
        <v>427</v>
      </c>
      <c r="B111" t="str">
        <f>CONCATENATE( BC111, AV111, ", ", W111-SUM(D112:D114), " slots open" )</f>
        <v>None, 0 slots open</v>
      </c>
      <c r="C111" s="80"/>
      <c r="D111" s="33">
        <v>0</v>
      </c>
      <c r="E111" s="44"/>
      <c r="F111" s="107">
        <f>(D111&gt;0)*IF( Hull&lt;100, 1, 3 )</f>
        <v>0</v>
      </c>
      <c r="G111" s="35">
        <f t="shared" si="62"/>
        <v>0</v>
      </c>
      <c r="H111" s="69">
        <f>G111*AX111</f>
        <v>0</v>
      </c>
      <c r="I111" s="69">
        <f>G111*AY111</f>
        <v>0</v>
      </c>
      <c r="J111" s="69">
        <f>G111*AZ111</f>
        <v>0</v>
      </c>
      <c r="K111" s="35">
        <f>G111*(H111&gt;0)</f>
        <v>0</v>
      </c>
      <c r="L111" s="35">
        <f>G111*(1+1*(Military))*(H111&gt;0)</f>
        <v>0</v>
      </c>
      <c r="M111" s="106">
        <f t="shared" si="44"/>
        <v>12</v>
      </c>
      <c r="N111" s="31"/>
      <c r="O111" s="31"/>
      <c r="P111" s="31"/>
      <c r="Q111" s="31"/>
      <c r="R111" s="31"/>
      <c r="S111" s="31"/>
      <c r="T111" s="31"/>
      <c r="U111" s="69">
        <f t="shared" si="56"/>
        <v>0</v>
      </c>
      <c r="V111" s="69">
        <f t="shared" si="45"/>
        <v>0</v>
      </c>
      <c r="W111">
        <f xml:space="preserve"> MAX(  0,  MIN( ABS(F111), IF( Hull&lt;100, 1, LOOKUP($M111,Tables!$C$471:$C$475,Tables!$A$471:$A$475) ) )  )</f>
        <v>0</v>
      </c>
      <c r="X111" s="1"/>
      <c r="Y111" s="1"/>
      <c r="Z111" s="1"/>
      <c r="AA111" s="1"/>
      <c r="AB111" s="1"/>
      <c r="AC111" s="1"/>
      <c r="AD111" s="1"/>
      <c r="AE111" s="1"/>
      <c r="AJ111" s="25">
        <f t="shared" si="63"/>
        <v>0</v>
      </c>
      <c r="AP111" s="1"/>
      <c r="AQ111" s="29"/>
      <c r="AR111" s="30"/>
      <c r="AS111" s="30"/>
      <c r="AU111" s="21">
        <f>VLOOKUP( $W111, Tables!$A$471:$F$475, 1 )</f>
        <v>0</v>
      </c>
      <c r="AV111" t="str">
        <f>VLOOKUP( $W111, Tables!$A$471:$F$475, 2 )</f>
        <v>None</v>
      </c>
      <c r="AW111">
        <f xml:space="preserve"> IF( BB121&gt;0, 10, VLOOKUP( $W111, Tables!$A$471:$F$475, 3 ) )</f>
        <v>0</v>
      </c>
      <c r="AX111">
        <f>VLOOKUP( $W111, Tables!$A$471:$F$475, 4 ) + BD111</f>
        <v>0</v>
      </c>
      <c r="AY111">
        <f>VLOOKUP( $W111, Tables!$A$471:$F$475, 5 ) + BE111</f>
        <v>0</v>
      </c>
      <c r="AZ111">
        <f>VLOOKUP( $W111, Tables!$A$471:$F$475, 6 )</f>
        <v>0</v>
      </c>
      <c r="BB111">
        <f t="shared" si="64"/>
        <v>0</v>
      </c>
      <c r="BC111" t="str">
        <f t="shared" si="65"/>
        <v/>
      </c>
      <c r="BD111">
        <f t="shared" si="66"/>
        <v>0</v>
      </c>
      <c r="BE111">
        <f t="shared" si="67"/>
        <v>0</v>
      </c>
      <c r="BG111">
        <f t="shared" si="61"/>
        <v>0</v>
      </c>
    </row>
    <row r="112" spans="1:59">
      <c r="A112" s="22" t="s">
        <v>488</v>
      </c>
      <c r="B112" t="str">
        <f t="shared" ref="B112:B114" si="68" xml:space="preserve"> IF( AO112&lt;&gt;0, CONCATENATE(  IF(AP112="Budget","Budget",AO112),  ":",  IF(O112&gt;0,"Size ",""),  IF(P112&gt;0,"Ene ","")  ), "" )</f>
        <v/>
      </c>
      <c r="C112" s="80"/>
      <c r="D112" s="33">
        <f>IF( D111&gt;0, 1, 0 )</f>
        <v>0</v>
      </c>
      <c r="E112" s="42">
        <v>0</v>
      </c>
      <c r="F112" s="42">
        <f>IF( D112&gt;0, 1, 0 )</f>
        <v>0</v>
      </c>
      <c r="G112" s="35">
        <f t="shared" si="62"/>
        <v>0</v>
      </c>
      <c r="H112" s="69">
        <f>G112*AX112*(1+IF(A112="Missile",-10%*AQ112,0)+IF(A112="Torpedo",-10%*AQ112,0))</f>
        <v>0</v>
      </c>
      <c r="I112" s="69">
        <f>G111*G112*AA112*(1+AS112)</f>
        <v>0</v>
      </c>
      <c r="J112" s="69">
        <f>G111*G112*(AB112*(1-0.25*(Hull&lt;100))) * ( 1 - 25%*MAX(0,MIN(P112,AO112)) + 30%*MAX(0,MIN(P112,-AO112)) )</f>
        <v>0</v>
      </c>
      <c r="K112" s="35"/>
      <c r="L112" s="35"/>
      <c r="M112" s="106">
        <f t="shared" si="44"/>
        <v>12</v>
      </c>
      <c r="N112" s="31" t="str">
        <f>CONCATENATE("Dam: ",AD112,"D",IF(Hull&gt;=100,CONCATENATE("+",(W112-1)*AD112),""))</f>
        <v>Dam: 2D+-2</v>
      </c>
      <c r="O112" s="31"/>
      <c r="P112" s="33">
        <f t="shared" ref="P112:P114" si="69" xml:space="preserve"> IF( AND( $AO112&lt;0,  NOT( OR( A112="Missile", A112="Torpedo" ) ) ),  -$AO112,  0  )</f>
        <v>0</v>
      </c>
      <c r="Q112" s="31"/>
      <c r="R112" s="31"/>
      <c r="S112" s="31"/>
      <c r="T112" s="31"/>
      <c r="U112" s="69">
        <f t="shared" si="56"/>
        <v>0</v>
      </c>
      <c r="V112" s="69">
        <f t="shared" si="45"/>
        <v>0</v>
      </c>
      <c r="W112" s="35">
        <f>D112</f>
        <v>0</v>
      </c>
      <c r="X112" s="1" t="str">
        <f>IF(ISNA(VLOOKUP($A112,Tables!$A$459:$H$468,1,FALSE)),"None",VLOOKUP($A112,Tables!$A$459:$H$468,1,FALSE))</f>
        <v>Pulse Laser</v>
      </c>
      <c r="Y112" s="1">
        <f>VLOOKUP($X112,Tables!$A$459:$H$468,2,FALSE)</f>
        <v>9</v>
      </c>
      <c r="Z112" s="1">
        <f>VLOOKUP($X112,Tables!$A$459:$H$468,3,FALSE)</f>
        <v>0</v>
      </c>
      <c r="AA112" s="1">
        <f>VLOOKUP($X112,Tables!$A$459:$H$468,4,FALSE)</f>
        <v>1</v>
      </c>
      <c r="AB112" s="1">
        <f>VLOOKUP($X112,Tables!$A$459:$H$468,5,FALSE)</f>
        <v>4</v>
      </c>
      <c r="AC112" s="1" t="str">
        <f>VLOOKUP($X112,Tables!$A$459:$H$468,6,FALSE)</f>
        <v>Long</v>
      </c>
      <c r="AD112" s="1">
        <f>VLOOKUP($X112,Tables!$A$459:$H$468,7,FALSE)</f>
        <v>2</v>
      </c>
      <c r="AE112" s="1" t="str">
        <f>VLOOKUP($X112,Tables!$A$459:$H$468,8,FALSE)</f>
        <v>ToHit+2</v>
      </c>
      <c r="AF112" s="1">
        <f>VLOOKUP($X112,Tables!$A$459:$L$468,9,FALSE)</f>
        <v>0</v>
      </c>
      <c r="AG112" s="1">
        <f>VLOOKUP($X112,Tables!$A$459:$L$468,10,FALSE)</f>
        <v>0</v>
      </c>
      <c r="AH112" s="1">
        <f>VLOOKUP($X112,Tables!$A$459:$L$468,11,FALSE)</f>
        <v>0</v>
      </c>
      <c r="AI112" s="1">
        <f>VLOOKUP($X112,Tables!$A$459:$L$468,12,FALSE)</f>
        <v>0</v>
      </c>
      <c r="AJ112" s="25"/>
      <c r="AK112" s="1">
        <f>G111*G112*AG112</f>
        <v>0</v>
      </c>
      <c r="AL112" s="1">
        <f>G111*G112*AH112</f>
        <v>0</v>
      </c>
      <c r="AM112" s="1">
        <f>G111*G112*AI112*MAX(0, $D$122-AF112 )</f>
        <v>0</v>
      </c>
      <c r="AN112" s="25">
        <f>IF(  OR( A112="Pulse Laser", A112="Beam Laser" ), G111*(3+W112),  0  )</f>
        <v>0</v>
      </c>
      <c r="AO112" s="123">
        <f>VLOOKUP($AQ112,Tables!$A$508:$E$515,5)</f>
        <v>0</v>
      </c>
      <c r="AP112" s="1" t="str">
        <f>VLOOKUP($AQ112,Tables!$A$508:$D$515,2)</f>
        <v>Standard</v>
      </c>
      <c r="AQ112" s="29">
        <f t="shared" ref="AQ112:AQ114" si="70">MAX( MIN( M112-MAX(Y112,AW112), E112), -3 )</f>
        <v>0</v>
      </c>
      <c r="AR112" s="30">
        <f>VLOOKUP($AQ112,Tables!$A$508:$D$515,3)</f>
        <v>0</v>
      </c>
      <c r="AS112" s="30">
        <f>VLOOKUP($AQ112,Tables!$A$508:$D$515,4)</f>
        <v>0</v>
      </c>
      <c r="BG112">
        <f t="shared" si="61"/>
        <v>0</v>
      </c>
    </row>
    <row r="113" spans="1:59">
      <c r="A113" s="22" t="s">
        <v>426</v>
      </c>
      <c r="B113" t="str">
        <f t="shared" si="68"/>
        <v/>
      </c>
      <c r="C113" s="80"/>
      <c r="D113" s="33">
        <f>IF( D111&gt;0, 1, 0 )</f>
        <v>0</v>
      </c>
      <c r="E113" s="42">
        <v>0</v>
      </c>
      <c r="F113" s="42">
        <f>IF( D113&gt;0, 1, 0 )</f>
        <v>0</v>
      </c>
      <c r="G113" s="35">
        <f t="shared" si="62"/>
        <v>0</v>
      </c>
      <c r="H113" s="69">
        <f>G113*AX113*(1+IF(A113="Missile",-10%*AQ113,0)+IF(A113="Torpedo",-10%*AQ113,0))</f>
        <v>0</v>
      </c>
      <c r="I113" s="69">
        <f>G111*G113*AA113*(1+AS113)</f>
        <v>0</v>
      </c>
      <c r="J113" s="69">
        <f t="shared" ref="J113:J114" si="71">G112*G113*(AB113*(1-0.25*(Hull&lt;100))) * ( 1 - 25%*MAX(0,MIN(P113,AO113)) + 30%*MAX(0,MIN(P113,-AO113)) )</f>
        <v>0</v>
      </c>
      <c r="K113" s="35"/>
      <c r="L113" s="35"/>
      <c r="M113" s="106">
        <f t="shared" si="44"/>
        <v>12</v>
      </c>
      <c r="N113" s="31" t="str">
        <f>CONCATENATE("Dam: ",AD113,"D",IF(Hull&gt;=100,CONCATENATE("+",(W113-1)*AD113),""))</f>
        <v>Dam: 0D+0</v>
      </c>
      <c r="O113" s="31"/>
      <c r="P113" s="33">
        <f t="shared" si="69"/>
        <v>0</v>
      </c>
      <c r="Q113" s="31"/>
      <c r="R113" s="31"/>
      <c r="S113" s="31"/>
      <c r="T113" s="31"/>
      <c r="U113" s="69">
        <f t="shared" si="56"/>
        <v>0</v>
      </c>
      <c r="V113" s="69">
        <f t="shared" si="45"/>
        <v>0</v>
      </c>
      <c r="W113" s="35">
        <f t="shared" ref="W113:W114" si="72">D113</f>
        <v>0</v>
      </c>
      <c r="X113" s="1" t="str">
        <f>IF(ISNA(VLOOKUP($A113,Tables!$A$459:$H$468,1,FALSE)),"None",VLOOKUP($A113,Tables!$A$459:$H$468,1,FALSE))</f>
        <v>Missile</v>
      </c>
      <c r="Y113" s="1">
        <f>VLOOKUP($X113,Tables!$A$459:$H$468,2,FALSE)</f>
        <v>7</v>
      </c>
      <c r="Z113" s="1">
        <f>VLOOKUP($X113,Tables!$A$459:$H$468,3,FALSE)</f>
        <v>0</v>
      </c>
      <c r="AA113" s="1">
        <f>VLOOKUP($X113,Tables!$A$459:$H$468,4,FALSE)</f>
        <v>0.75</v>
      </c>
      <c r="AB113" s="1">
        <f>VLOOKUP($X113,Tables!$A$459:$H$468,5,FALSE)</f>
        <v>0</v>
      </c>
      <c r="AC113" s="1">
        <f>VLOOKUP($X113,Tables!$A$459:$H$468,6,FALSE)</f>
        <v>0</v>
      </c>
      <c r="AD113" s="1">
        <f>VLOOKUP($X113,Tables!$A$459:$H$468,7,FALSE)</f>
        <v>0</v>
      </c>
      <c r="AE113" s="1" t="str">
        <f>VLOOKUP($X113,Tables!$A$459:$H$468,8,FALSE)</f>
        <v>Smart</v>
      </c>
      <c r="AF113" s="1">
        <f>VLOOKUP($X113,Tables!$A$459:$L$468,9,FALSE)</f>
        <v>12</v>
      </c>
      <c r="AG113" s="1">
        <f>VLOOKUP($X113,Tables!$A$459:$L$468,10,FALSE)</f>
        <v>1</v>
      </c>
      <c r="AH113" s="1">
        <f>VLOOKUP($X113,Tables!$A$459:$L$468,11,FALSE)</f>
        <v>0</v>
      </c>
      <c r="AI113" s="1">
        <f>VLOOKUP($X113,Tables!$A$459:$L$468,12,FALSE)</f>
        <v>8.3333333333333329E-2</v>
      </c>
      <c r="AJ113" s="1"/>
      <c r="AK113" s="1">
        <f>G111*G113*AG113</f>
        <v>0</v>
      </c>
      <c r="AL113" s="1">
        <f>G111*G113*AH113</f>
        <v>0</v>
      </c>
      <c r="AM113" s="1">
        <f>G111*G113*AI113*MAX(0, $D$122-AF113 )</f>
        <v>0</v>
      </c>
      <c r="AN113" s="25">
        <f>IF(  OR( A113="Pulse Laser", A113="Beam Laser" ), G111*(3+W113),  0  ) * (AN112=0)</f>
        <v>0</v>
      </c>
      <c r="AO113" s="123">
        <f>VLOOKUP($AQ113,Tables!$A$508:$E$515,5)</f>
        <v>0</v>
      </c>
      <c r="AP113" s="1" t="str">
        <f>VLOOKUP($AQ113,Tables!$A$508:$D$515,2)</f>
        <v>Standard</v>
      </c>
      <c r="AQ113" s="29">
        <f t="shared" si="70"/>
        <v>0</v>
      </c>
      <c r="AR113" s="30">
        <f>VLOOKUP($AQ113,Tables!$A$508:$D$515,3)</f>
        <v>0</v>
      </c>
      <c r="AS113" s="30">
        <f>VLOOKUP($AQ113,Tables!$A$508:$D$515,4)</f>
        <v>0</v>
      </c>
      <c r="BG113">
        <f t="shared" si="61"/>
        <v>0</v>
      </c>
    </row>
    <row r="114" spans="1:59">
      <c r="A114" s="22" t="s">
        <v>777</v>
      </c>
      <c r="B114" t="str">
        <f t="shared" si="68"/>
        <v/>
      </c>
      <c r="C114" s="80"/>
      <c r="D114" s="33">
        <f>IF( D111&gt;0, 1, 0 )</f>
        <v>0</v>
      </c>
      <c r="E114" s="42">
        <v>0</v>
      </c>
      <c r="F114" s="42">
        <f>IF( D114&gt;0, 1, 0 )</f>
        <v>0</v>
      </c>
      <c r="G114" s="35">
        <f t="shared" si="62"/>
        <v>0</v>
      </c>
      <c r="H114" s="69">
        <f>G114*AX114*(1+IF(A114="Missile",-10%*AQ114,0)+IF(A114="Torpedo",-10%*AQ114,0))</f>
        <v>0</v>
      </c>
      <c r="I114" s="69">
        <f>G111*G114*AA114*(1+AS114)</f>
        <v>0</v>
      </c>
      <c r="J114" s="69">
        <f t="shared" si="71"/>
        <v>0</v>
      </c>
      <c r="K114" s="35"/>
      <c r="L114" s="35"/>
      <c r="M114" s="106">
        <f t="shared" si="44"/>
        <v>12</v>
      </c>
      <c r="N114" s="31" t="str">
        <f>CONCATENATE("Dam: ",AD114,"D",IF(Hull&gt;=100,CONCATENATE("+",(W114-1)*AD114),""))</f>
        <v>Dam: 0D+0</v>
      </c>
      <c r="O114" s="31"/>
      <c r="P114" s="33">
        <f t="shared" si="69"/>
        <v>0</v>
      </c>
      <c r="Q114" s="31"/>
      <c r="R114" s="31"/>
      <c r="S114" s="31"/>
      <c r="T114" s="31"/>
      <c r="U114" s="69">
        <f t="shared" si="56"/>
        <v>0</v>
      </c>
      <c r="V114" s="69">
        <f t="shared" si="45"/>
        <v>0</v>
      </c>
      <c r="W114" s="35">
        <f t="shared" si="72"/>
        <v>0</v>
      </c>
      <c r="X114" s="1" t="str">
        <f>IF(ISNA(VLOOKUP($A114,Tables!$A$459:$H$468,1,FALSE)),"None",VLOOKUP($A114,Tables!$A$459:$H$468,1,FALSE))</f>
        <v>Sandcaster</v>
      </c>
      <c r="Y114" s="1">
        <f>VLOOKUP($X114,Tables!$A$459:$H$468,2,FALSE)</f>
        <v>9</v>
      </c>
      <c r="Z114" s="1">
        <f>VLOOKUP($X114,Tables!$A$459:$H$468,3,FALSE)</f>
        <v>0</v>
      </c>
      <c r="AA114" s="1">
        <f>VLOOKUP($X114,Tables!$A$459:$H$468,4,FALSE)</f>
        <v>0.25</v>
      </c>
      <c r="AB114" s="1">
        <f>VLOOKUP($X114,Tables!$A$459:$H$468,5,FALSE)</f>
        <v>0</v>
      </c>
      <c r="AC114" s="1">
        <f>VLOOKUP($X114,Tables!$A$459:$H$468,6,FALSE)</f>
        <v>0</v>
      </c>
      <c r="AD114" s="1">
        <f>VLOOKUP($X114,Tables!$A$459:$H$468,7,FALSE)</f>
        <v>0</v>
      </c>
      <c r="AE114" s="1">
        <f>VLOOKUP($X114,Tables!$A$459:$H$468,8,FALSE)</f>
        <v>0</v>
      </c>
      <c r="AF114" s="1">
        <f>VLOOKUP($X114,Tables!$A$459:$L$468,9,FALSE)</f>
        <v>12</v>
      </c>
      <c r="AG114" s="1">
        <f>VLOOKUP($X114,Tables!$A$459:$L$468,10,FALSE)</f>
        <v>0</v>
      </c>
      <c r="AH114" s="1">
        <f>VLOOKUP($X114,Tables!$A$459:$L$468,11,FALSE)</f>
        <v>0</v>
      </c>
      <c r="AI114" s="1">
        <f>VLOOKUP($X114,Tables!$A$459:$L$468,12,FALSE)</f>
        <v>0.05</v>
      </c>
      <c r="AJ114" s="1"/>
      <c r="AK114" s="1">
        <f>G111*G114*AG114</f>
        <v>0</v>
      </c>
      <c r="AL114" s="1">
        <f>G111*G114*AH114</f>
        <v>0</v>
      </c>
      <c r="AM114" s="1">
        <f>G111*G114*AI114*MAX(0, $D$122-AF114 )</f>
        <v>0</v>
      </c>
      <c r="AN114" s="25">
        <f>IF(  OR( A114="Pulse Laser", A114="Beam Laser" ), G111*(3+W114),  0  ) * (AN112=0) * (AN113=0)</f>
        <v>0</v>
      </c>
      <c r="AO114" s="123">
        <f>VLOOKUP($AQ114,Tables!$A$508:$E$515,5)</f>
        <v>0</v>
      </c>
      <c r="AP114" s="1" t="str">
        <f>VLOOKUP($AQ114,Tables!$A$508:$D$515,2)</f>
        <v>Standard</v>
      </c>
      <c r="AQ114" s="29">
        <f t="shared" si="70"/>
        <v>0</v>
      </c>
      <c r="AR114" s="30">
        <f>VLOOKUP($AQ114,Tables!$A$508:$D$515,3)</f>
        <v>0</v>
      </c>
      <c r="AS114" s="30">
        <f>VLOOKUP($AQ114,Tables!$A$508:$D$515,4)</f>
        <v>0</v>
      </c>
      <c r="BG114">
        <f t="shared" si="61"/>
        <v>0</v>
      </c>
    </row>
    <row r="115" spans="1:59">
      <c r="A115" t="s">
        <v>880</v>
      </c>
      <c r="C115" s="80"/>
      <c r="D115" s="24">
        <v>0</v>
      </c>
      <c r="E115" s="41"/>
      <c r="F115" s="28"/>
      <c r="G115" s="24">
        <f t="shared" si="62"/>
        <v>0</v>
      </c>
      <c r="H115" s="69"/>
      <c r="I115" s="69"/>
      <c r="J115" s="69"/>
      <c r="K115" s="24"/>
      <c r="L115" s="24"/>
      <c r="M115" s="106"/>
      <c r="N115" s="31"/>
      <c r="O115" s="31"/>
      <c r="P115" s="31"/>
      <c r="Q115" s="31"/>
      <c r="R115" s="31"/>
      <c r="S115" s="31"/>
      <c r="T115" s="31"/>
      <c r="U115" s="69">
        <f t="shared" si="56"/>
        <v>0</v>
      </c>
      <c r="V115" s="69">
        <f t="shared" si="45"/>
        <v>0</v>
      </c>
      <c r="X115" s="1"/>
      <c r="Y115" s="1"/>
      <c r="Z115" s="1"/>
      <c r="AA115" s="1"/>
      <c r="AB115" s="1"/>
      <c r="AC115" s="1"/>
      <c r="AD115" s="1"/>
      <c r="AE115" s="1"/>
      <c r="AP115" s="1"/>
      <c r="AQ115" s="29"/>
      <c r="AR115" s="30"/>
      <c r="AS115" s="30"/>
      <c r="BG115">
        <f t="shared" si="61"/>
        <v>0</v>
      </c>
    </row>
    <row r="116" spans="1:59">
      <c r="A116" s="22" t="s">
        <v>488</v>
      </c>
      <c r="B116" t="str">
        <f t="shared" ref="B116:B117" si="73" xml:space="preserve"> IF( AO116&lt;&gt;0, CONCATENATE(  IF(AP116="Budget","Budget",AO116),  ":",  IF(O116&gt;0,"Size ",""),  IF(P116&gt;0,"Ene ","")  ), "" )</f>
        <v/>
      </c>
      <c r="C116" s="80"/>
      <c r="D116" s="14">
        <v>0</v>
      </c>
      <c r="E116" s="42">
        <v>0</v>
      </c>
      <c r="F116" s="107">
        <f>(D116&gt;0)*IF( Hull&lt;100, 1, 3 )</f>
        <v>0</v>
      </c>
      <c r="G116" s="24">
        <f t="shared" si="62"/>
        <v>0</v>
      </c>
      <c r="H116" s="69">
        <f>G116*(AX116)*(1+AR116)*( 1 - 10%*MAX(0,MIN(O116,AO116)) + 20%*MAX(0,MIN(O116,-AO116)) )</f>
        <v>0</v>
      </c>
      <c r="I116" s="69">
        <f>G116*(AY116+W116*AA116)*(1+AS116)</f>
        <v>0</v>
      </c>
      <c r="J116" s="69">
        <f>G116*(AZ116+W116*AB116*(1-0.25*(Hull&lt;100))) * ( 1 - 25%*MAX(0,MIN(P116,AO116)) + 30%*MAX(0,MIN(P116,-AO116)) )</f>
        <v>0</v>
      </c>
      <c r="K116" s="35">
        <f>G116*(I116&gt;0)</f>
        <v>0</v>
      </c>
      <c r="L116" s="24">
        <f>G116*0</f>
        <v>0</v>
      </c>
      <c r="M116" s="106">
        <f t="shared" si="44"/>
        <v>12</v>
      </c>
      <c r="N116" s="31" t="str">
        <f>CONCATENATE("Dam: ",AD116,"D",IF(Hull&gt;=100,CONCATENATE("+",2*AD116),""))</f>
        <v>Dam: 2D+4</v>
      </c>
      <c r="O116" s="33">
        <f xml:space="preserve"> IF( OR( A116="Missile", A116="Torpedo" ),  ABS($AO116),  0  )</f>
        <v>0</v>
      </c>
      <c r="P116" s="33">
        <f xml:space="preserve"> IF( AND( $AO116&lt;0,  NOT( OR( A116="Missile", A116="Torpedo" ) ) ),  -$AO116,  0  )</f>
        <v>0</v>
      </c>
      <c r="Q116" s="31"/>
      <c r="R116" s="31"/>
      <c r="S116" s="31"/>
      <c r="T116" s="31"/>
      <c r="U116" s="69">
        <f t="shared" si="56"/>
        <v>0</v>
      </c>
      <c r="V116" s="69">
        <f t="shared" si="45"/>
        <v>0</v>
      </c>
      <c r="W116">
        <f xml:space="preserve"> MAX(  0,  MIN( ABS(F116), IF( Hull&lt;100, 1, 3 ) )  )</f>
        <v>0</v>
      </c>
      <c r="X116" s="1" t="str">
        <f>IF(ISNA(VLOOKUP($A116,Tables!$A$459:$H$468,1,FALSE)),"None",VLOOKUP($A116,Tables!$A$459:$H$468,1,FALSE))</f>
        <v>Pulse Laser</v>
      </c>
      <c r="Y116" s="1">
        <f>VLOOKUP($X116,Tables!$A$459:$H$468,2,FALSE)</f>
        <v>9</v>
      </c>
      <c r="Z116" s="1">
        <f>VLOOKUP($X116,Tables!$A$459:$H$468,3,FALSE)</f>
        <v>0</v>
      </c>
      <c r="AA116" s="1">
        <f>VLOOKUP($X116,Tables!$A$459:$H$468,4,FALSE)</f>
        <v>1</v>
      </c>
      <c r="AB116" s="1">
        <f>VLOOKUP($X116,Tables!$A$459:$H$468,5,FALSE)</f>
        <v>4</v>
      </c>
      <c r="AC116" s="1" t="str">
        <f>VLOOKUP($X116,Tables!$A$459:$H$468,6,FALSE)</f>
        <v>Long</v>
      </c>
      <c r="AD116" s="1">
        <f>VLOOKUP($X116,Tables!$A$459:$H$468,7,FALSE)</f>
        <v>2</v>
      </c>
      <c r="AE116" s="1" t="str">
        <f>VLOOKUP($X116,Tables!$A$459:$H$468,8,FALSE)</f>
        <v>ToHit+2</v>
      </c>
      <c r="AF116" s="1">
        <f>VLOOKUP($X116,Tables!$A$459:$L$468,9,FALSE)</f>
        <v>0</v>
      </c>
      <c r="AG116" s="1">
        <f>VLOOKUP($X116,Tables!$A$459:$L$468,10,FALSE)</f>
        <v>0</v>
      </c>
      <c r="AH116" s="1">
        <f>VLOOKUP($X116,Tables!$A$459:$L$468,11,FALSE)</f>
        <v>0</v>
      </c>
      <c r="AI116" s="1">
        <f>VLOOKUP($X116,Tables!$A$459:$L$468,12,FALSE)</f>
        <v>0</v>
      </c>
      <c r="AJ116" s="1"/>
      <c r="AK116" s="1">
        <f>W116*G116*AG116</f>
        <v>0</v>
      </c>
      <c r="AL116" s="1">
        <f>G116*AH116</f>
        <v>0</v>
      </c>
      <c r="AM116" s="1">
        <f>G116*W116*AI116*MAX(0, $D$122-AF116 )</f>
        <v>0</v>
      </c>
      <c r="AN116" s="1"/>
      <c r="AO116" s="123">
        <f>VLOOKUP($AQ116,Tables!$A$508:$E$515,5)</f>
        <v>0</v>
      </c>
      <c r="AP116" s="1" t="str">
        <f>VLOOKUP($AQ116,Tables!$A$508:$D$515,2)</f>
        <v>Standard</v>
      </c>
      <c r="AQ116" s="29">
        <f t="shared" ref="AQ116:AQ117" si="74">MAX( MIN( M116-MAX(Y116,AW116), E116), -3 )</f>
        <v>0</v>
      </c>
      <c r="AR116" s="30">
        <f>VLOOKUP($AQ116,Tables!$A$508:$D$515,3)</f>
        <v>0</v>
      </c>
      <c r="AS116" s="30">
        <f>VLOOKUP($AQ116,Tables!$A$508:$D$515,4)</f>
        <v>0</v>
      </c>
      <c r="AU116" s="21">
        <f>VLOOKUP( $W116, Tables!$A$471:$F$475, 1 )</f>
        <v>0</v>
      </c>
      <c r="AV116" t="str">
        <f>VLOOKUP( $W116, Tables!$A$471:$F$475, 2 )</f>
        <v>None</v>
      </c>
      <c r="AW116">
        <f xml:space="preserve"> IF( BB116&gt;0, 10, 0 )</f>
        <v>0</v>
      </c>
      <c r="AX116">
        <f xml:space="preserve"> 0 + BD116</f>
        <v>0</v>
      </c>
      <c r="AY116">
        <f xml:space="preserve"> 0.1 + BE116</f>
        <v>0.1</v>
      </c>
      <c r="AZ116">
        <v>0</v>
      </c>
      <c r="BB116">
        <f t="shared" ref="BB116:BB117" si="75" xml:space="preserve"> 1*(F116&lt;0)*(M116&gt;=10)</f>
        <v>0</v>
      </c>
      <c r="BC116" t="str">
        <f>IF( BB116&gt;0, "Pop-up ", "" )</f>
        <v/>
      </c>
      <c r="BD116">
        <f>BB116*1</f>
        <v>0</v>
      </c>
      <c r="BE116">
        <f>BB116*1</f>
        <v>0</v>
      </c>
      <c r="BG116">
        <f t="shared" si="61"/>
        <v>0</v>
      </c>
    </row>
    <row r="117" spans="1:59">
      <c r="A117" s="22" t="s">
        <v>426</v>
      </c>
      <c r="B117" t="str">
        <f t="shared" si="73"/>
        <v/>
      </c>
      <c r="C117" s="80"/>
      <c r="D117" s="14">
        <v>0</v>
      </c>
      <c r="E117" s="42">
        <v>0</v>
      </c>
      <c r="F117" s="107">
        <f>(D117&gt;0)*IF( Hull&lt;100, 1, 3 )</f>
        <v>0</v>
      </c>
      <c r="G117" s="24">
        <f t="shared" si="62"/>
        <v>0</v>
      </c>
      <c r="H117" s="69">
        <f>G117*(AX117)*(1+AR117)*( 1 - 10%*MAX(0,MIN(O117,AO117)) + 20%*MAX(0,MIN(O117,-AO117)) )</f>
        <v>0</v>
      </c>
      <c r="I117" s="69">
        <f>G117*(AY117+W117*AA117)*(1+AS117)</f>
        <v>0</v>
      </c>
      <c r="J117" s="69">
        <f>G117*(AZ117+W117*AB117*(1-0.25*(Hull&lt;100))) * ( 1 - 25%*MAX(0,MIN(P117,AO117)) + 30%*MAX(0,MIN(P117,-AO117)) )</f>
        <v>0</v>
      </c>
      <c r="K117" s="35">
        <f>G117*(I117&gt;0)</f>
        <v>0</v>
      </c>
      <c r="L117" s="35">
        <f>G117*0</f>
        <v>0</v>
      </c>
      <c r="M117" s="106">
        <f t="shared" si="44"/>
        <v>12</v>
      </c>
      <c r="N117" s="31" t="str">
        <f>CONCATENATE("Dam: ",AD117,"D",IF(Hull&gt;=100,CONCATENATE("+",2*AD117),""))</f>
        <v>Dam: 0D+0</v>
      </c>
      <c r="O117" s="33">
        <f xml:space="preserve"> IF( OR( A117="Missile", A117="Torpedo" ),  ABS($AO117),  0  )</f>
        <v>0</v>
      </c>
      <c r="P117" s="33">
        <f xml:space="preserve"> IF( AND( $AO117&lt;0,  NOT( OR( A117="Missile", A117="Torpedo" ) ) ),  -$AO117,  0  )</f>
        <v>0</v>
      </c>
      <c r="Q117" s="31"/>
      <c r="R117" s="31"/>
      <c r="S117" s="31"/>
      <c r="T117" s="31"/>
      <c r="U117" s="69">
        <f t="shared" si="56"/>
        <v>0</v>
      </c>
      <c r="V117" s="69">
        <f t="shared" si="45"/>
        <v>0</v>
      </c>
      <c r="W117">
        <f xml:space="preserve"> MAX(  0,  MIN( ABS(F117), IF( Hull&lt;100, 1, 3 ) )  )</f>
        <v>0</v>
      </c>
      <c r="X117" s="1" t="str">
        <f>IF(ISNA(VLOOKUP($A117,Tables!$A$459:$H$468,1,FALSE)),"None",VLOOKUP($A117,Tables!$A$459:$H$468,1,FALSE))</f>
        <v>Missile</v>
      </c>
      <c r="Y117" s="1">
        <f>VLOOKUP($X117,Tables!$A$459:$H$468,2,FALSE)</f>
        <v>7</v>
      </c>
      <c r="Z117" s="1">
        <f>VLOOKUP($X117,Tables!$A$459:$H$468,3,FALSE)</f>
        <v>0</v>
      </c>
      <c r="AA117" s="1">
        <f>VLOOKUP($X117,Tables!$A$459:$H$468,4,FALSE)</f>
        <v>0.75</v>
      </c>
      <c r="AB117" s="1">
        <f>VLOOKUP($X117,Tables!$A$459:$H$468,5,FALSE)</f>
        <v>0</v>
      </c>
      <c r="AC117" s="1">
        <f>VLOOKUP($X117,Tables!$A$459:$H$468,6,FALSE)</f>
        <v>0</v>
      </c>
      <c r="AD117" s="1">
        <f>VLOOKUP($X117,Tables!$A$459:$H$468,7,FALSE)</f>
        <v>0</v>
      </c>
      <c r="AE117" s="1" t="str">
        <f>VLOOKUP($X117,Tables!$A$459:$H$468,8,FALSE)</f>
        <v>Smart</v>
      </c>
      <c r="AF117" s="1">
        <f>VLOOKUP($X117,Tables!$A$459:$L$468,9,FALSE)</f>
        <v>12</v>
      </c>
      <c r="AG117" s="1">
        <f>VLOOKUP($X117,Tables!$A$459:$L$468,10,FALSE)</f>
        <v>1</v>
      </c>
      <c r="AH117" s="1">
        <f>VLOOKUP($X117,Tables!$A$459:$L$468,11,FALSE)</f>
        <v>0</v>
      </c>
      <c r="AI117" s="1">
        <f>VLOOKUP($X117,Tables!$A$459:$L$468,12,FALSE)</f>
        <v>8.3333333333333329E-2</v>
      </c>
      <c r="AJ117" s="1"/>
      <c r="AK117" s="1">
        <f>W117*G117*AG117</f>
        <v>0</v>
      </c>
      <c r="AL117" s="1">
        <f>G117*AH117</f>
        <v>0</v>
      </c>
      <c r="AM117" s="1">
        <f>G117*W117*AI117*MAX(0, $D$122-AF117 )</f>
        <v>0</v>
      </c>
      <c r="AN117" s="1"/>
      <c r="AO117" s="123">
        <f>VLOOKUP($AQ117,Tables!$A$508:$E$515,5)</f>
        <v>0</v>
      </c>
      <c r="AP117" s="1" t="str">
        <f>VLOOKUP($AQ117,Tables!$A$508:$D$515,2)</f>
        <v>Standard</v>
      </c>
      <c r="AQ117" s="29">
        <f t="shared" si="74"/>
        <v>0</v>
      </c>
      <c r="AR117" s="30">
        <f>VLOOKUP($AQ117,Tables!$A$508:$D$515,3)</f>
        <v>0</v>
      </c>
      <c r="AS117" s="30">
        <f>VLOOKUP($AQ117,Tables!$A$508:$D$515,4)</f>
        <v>0</v>
      </c>
      <c r="AU117" s="21">
        <f>VLOOKUP( $W117, Tables!$A$471:$F$475, 1 )</f>
        <v>0</v>
      </c>
      <c r="AV117" t="str">
        <f>VLOOKUP( $W117, Tables!$A$471:$F$475, 2 )</f>
        <v>None</v>
      </c>
      <c r="AW117">
        <f xml:space="preserve"> IF( BB117&gt;0, 10, 0 )</f>
        <v>0</v>
      </c>
      <c r="AX117">
        <f xml:space="preserve"> 0 + BD117</f>
        <v>0</v>
      </c>
      <c r="AY117">
        <f xml:space="preserve"> 0.1 + BE117</f>
        <v>0.1</v>
      </c>
      <c r="AZ117">
        <v>0</v>
      </c>
      <c r="BB117">
        <f t="shared" si="75"/>
        <v>0</v>
      </c>
      <c r="BC117" t="str">
        <f>IF( BB117&gt;0, "Pop-up ", "" )</f>
        <v/>
      </c>
      <c r="BD117">
        <f>BB117*1</f>
        <v>0</v>
      </c>
      <c r="BE117">
        <f>BB117*1</f>
        <v>0</v>
      </c>
      <c r="BG117">
        <f t="shared" si="61"/>
        <v>0</v>
      </c>
    </row>
    <row r="118" spans="1:59">
      <c r="A118" t="s">
        <v>51</v>
      </c>
      <c r="C118" s="80"/>
      <c r="D118" s="71">
        <v>0</v>
      </c>
      <c r="E118" s="44"/>
      <c r="F118" s="28"/>
      <c r="G118" s="71"/>
      <c r="H118" s="69"/>
      <c r="I118" s="69"/>
      <c r="J118" s="69"/>
      <c r="K118" s="71"/>
      <c r="L118" s="71"/>
      <c r="M118" s="106"/>
      <c r="N118" s="31"/>
      <c r="O118" s="31"/>
      <c r="P118" s="31"/>
      <c r="Q118" s="31"/>
      <c r="R118" s="31"/>
      <c r="S118" s="31"/>
      <c r="T118" s="31"/>
      <c r="U118" s="69"/>
      <c r="V118" s="69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P118" s="1"/>
      <c r="AQ118" s="29"/>
      <c r="AR118" s="30"/>
      <c r="AS118" s="30"/>
      <c r="AU118" s="21"/>
    </row>
    <row r="119" spans="1:59">
      <c r="A119" s="22" t="s">
        <v>551</v>
      </c>
      <c r="B119" t="str">
        <f xml:space="preserve"> CONCATENATE( VLOOKUP( W119, Tables!B2:D36, 3 ) &amp; "," &amp; AP119 )</f>
        <v>zero,Standard</v>
      </c>
      <c r="C119" s="80"/>
      <c r="D119" s="33">
        <f xml:space="preserve"> 1 * ( X119&lt;&gt;"None" )</f>
        <v>0</v>
      </c>
      <c r="E119" s="42">
        <v>0</v>
      </c>
      <c r="F119" s="107">
        <f xml:space="preserve"> IF( Z119&lt;0.25, 4, 1 ) * ( D119&gt;0 )</f>
        <v>0</v>
      </c>
      <c r="G119" s="71">
        <f>D119</f>
        <v>0</v>
      </c>
      <c r="H119" s="69">
        <f>G119*MAX(1,Z119)*(1+AR119)*( 1 - 10%*MAX(0,MIN(O119,AO119)) + 20%*MAX(0,MIN(O119,-AO119)) )</f>
        <v>0</v>
      </c>
      <c r="I119" s="69">
        <f xml:space="preserve"> G119 * ( F119 * (AA119+0.001) * (1+AS119) )</f>
        <v>0</v>
      </c>
      <c r="J119" s="69"/>
      <c r="K119" s="71"/>
      <c r="L119" s="71"/>
      <c r="M119" s="106">
        <f t="shared" si="44"/>
        <v>12</v>
      </c>
      <c r="N119" s="113" t="str">
        <f xml:space="preserve"> CONCATENATE( AD119 &amp; " " &amp; AE119 )</f>
        <v xml:space="preserve"> </v>
      </c>
      <c r="O119" s="33">
        <v>0</v>
      </c>
      <c r="P119" s="31"/>
      <c r="Q119" s="31"/>
      <c r="R119" s="31"/>
      <c r="S119" s="31"/>
      <c r="T119" s="31"/>
      <c r="U119" s="69"/>
      <c r="V119" s="69"/>
      <c r="W119">
        <f xml:space="preserve"> MIN( F119, IF( Z119&lt;0.25, 4, 1 ) )</f>
        <v>0</v>
      </c>
      <c r="X119" s="1" t="str">
        <f xml:space="preserve"> IFERROR( VLOOKUP( $A119, Tables!$A$478:$E$498, 1, 0 ), "None" )</f>
        <v>None</v>
      </c>
      <c r="Y119" s="1">
        <f xml:space="preserve"> VLOOKUP( $A119, Tables!$A$478:$E$498, 3, 0 )</f>
        <v>0</v>
      </c>
      <c r="Z119" s="1">
        <f xml:space="preserve"> VLOOKUP( $A119, Tables!$A$478:$E$498, 4, 0 )</f>
        <v>0</v>
      </c>
      <c r="AA119" s="1">
        <f xml:space="preserve"> VLOOKUP( $A119, Tables!$A$478:$E$498, 5, 0 )</f>
        <v>0</v>
      </c>
      <c r="AB119" s="1"/>
      <c r="AC119" s="1">
        <f xml:space="preserve"> VLOOKUP( $A119, Tables!$A$478:$H$498, 6, 0 )</f>
        <v>0</v>
      </c>
      <c r="AD119" s="1" t="str">
        <f xml:space="preserve"> VLOOKUP( $A119, Tables!$A$478:$H$498, 7, 0 )</f>
        <v/>
      </c>
      <c r="AE119" s="1" t="str">
        <f xml:space="preserve"> VLOOKUP( $A119, Tables!$A$478:$H$498, 8, 0 )</f>
        <v/>
      </c>
      <c r="AF119" s="1"/>
      <c r="AG119" s="1"/>
      <c r="AH119" s="1"/>
      <c r="AI119" s="1"/>
      <c r="AJ119" s="1"/>
      <c r="AK119" s="1"/>
      <c r="AL119" s="1"/>
      <c r="AM119" s="1"/>
      <c r="AN119" s="1"/>
      <c r="AO119" s="123">
        <f>VLOOKUP($AQ119,Tables!$A$508:$E$515,5)</f>
        <v>0</v>
      </c>
      <c r="AP119" s="1" t="str">
        <f>VLOOKUP($AQ119,Tables!$A$508:$D$515,2)</f>
        <v>Standard</v>
      </c>
      <c r="AQ119" s="29">
        <f xml:space="preserve"> MAX( MIN( E119, M119-Y119 ), -3 )</f>
        <v>0</v>
      </c>
      <c r="AR119" s="30">
        <f>VLOOKUP($AQ119,Tables!$A$508:$D$515,3)</f>
        <v>0</v>
      </c>
      <c r="AS119" s="30">
        <f>VLOOKUP($AQ119,Tables!$A$508:$D$515,4)</f>
        <v>0</v>
      </c>
      <c r="AU119" s="21"/>
    </row>
    <row r="120" spans="1:59">
      <c r="A120" s="22" t="s">
        <v>551</v>
      </c>
      <c r="B120" t="str">
        <f xml:space="preserve"> CONCATENATE( VLOOKUP( W120, Tables!B3:D37, 3 ) &amp; "," &amp; AP120 )</f>
        <v>zero,Standard</v>
      </c>
      <c r="C120" s="80"/>
      <c r="D120" s="33">
        <f xml:space="preserve"> 1 * ( X120&lt;&gt;"None" )</f>
        <v>0</v>
      </c>
      <c r="E120" s="42">
        <v>0</v>
      </c>
      <c r="F120" s="107">
        <f xml:space="preserve"> IF( Z120&lt;0.25, 4, 1 ) * ( D120&gt;0 )</f>
        <v>0</v>
      </c>
      <c r="G120" s="71">
        <f>D120</f>
        <v>0</v>
      </c>
      <c r="H120" s="69">
        <f>G120*MAX(1,Z120)*(1+AR120)*( 1 - 10%*MAX(0,MIN(O120,AO120)) + 20%*MAX(0,MIN(O120,-AO120)) )</f>
        <v>0</v>
      </c>
      <c r="I120" s="69">
        <f xml:space="preserve"> G120 * ( F120 * (AA120+0.001) * (1+AS120) )</f>
        <v>0</v>
      </c>
      <c r="J120" s="69"/>
      <c r="K120" s="71"/>
      <c r="L120" s="71"/>
      <c r="M120" s="106">
        <f t="shared" si="44"/>
        <v>12</v>
      </c>
      <c r="N120" s="113" t="str">
        <f xml:space="preserve"> CONCATENATE( AD120 &amp; " " &amp; AE120 )</f>
        <v xml:space="preserve"> </v>
      </c>
      <c r="O120" s="33">
        <v>0</v>
      </c>
      <c r="P120" s="31"/>
      <c r="Q120" s="31"/>
      <c r="R120" s="31"/>
      <c r="S120" s="31"/>
      <c r="T120" s="31"/>
      <c r="U120" s="69"/>
      <c r="V120" s="69"/>
      <c r="W120">
        <f xml:space="preserve"> MIN( F120, IF( Z120&lt;0.25, 4, 1 ) )</f>
        <v>0</v>
      </c>
      <c r="X120" s="1" t="str">
        <f xml:space="preserve"> IFERROR( VLOOKUP( $A120, Tables!$A$478:$E$498, 1, 0 ), "None" )</f>
        <v>None</v>
      </c>
      <c r="Y120" s="1">
        <f xml:space="preserve"> VLOOKUP( $A120, Tables!$A$478:$E$498, 3, 0 )</f>
        <v>0</v>
      </c>
      <c r="Z120" s="1">
        <f xml:space="preserve"> VLOOKUP( $A120, Tables!$A$478:$E$498, 4, 0 )</f>
        <v>0</v>
      </c>
      <c r="AA120" s="1">
        <f xml:space="preserve"> VLOOKUP( $A120, Tables!$A$478:$E$498, 5, 0 )</f>
        <v>0</v>
      </c>
      <c r="AB120" s="1"/>
      <c r="AC120" s="1">
        <f xml:space="preserve"> VLOOKUP( $A120, Tables!$A$478:$H$498, 6, 0 )</f>
        <v>0</v>
      </c>
      <c r="AD120" s="1" t="str">
        <f xml:space="preserve"> VLOOKUP( $A120, Tables!$A$478:$H$498, 7, 0 )</f>
        <v/>
      </c>
      <c r="AE120" s="1" t="str">
        <f xml:space="preserve"> VLOOKUP( $A120, Tables!$A$478:$H$498, 8, 0 )</f>
        <v/>
      </c>
      <c r="AF120" s="1"/>
      <c r="AG120" s="1"/>
      <c r="AH120" s="1"/>
      <c r="AI120" s="1"/>
      <c r="AJ120" s="1"/>
      <c r="AK120" s="1"/>
      <c r="AL120" s="1"/>
      <c r="AM120" s="1"/>
      <c r="AN120" s="1"/>
      <c r="AO120" s="123">
        <f>VLOOKUP($AQ120,Tables!$A$508:$E$515,5)</f>
        <v>0</v>
      </c>
      <c r="AP120" s="1" t="str">
        <f>VLOOKUP($AQ120,Tables!$A$508:$D$515,2)</f>
        <v>Standard</v>
      </c>
      <c r="AQ120" s="29">
        <f xml:space="preserve"> MAX( MIN( E120, M120-Y120 ), -3 )</f>
        <v>0</v>
      </c>
      <c r="AR120" s="30">
        <f>VLOOKUP($AQ120,Tables!$A$508:$D$515,3)</f>
        <v>0</v>
      </c>
      <c r="AS120" s="30">
        <f>VLOOKUP($AQ120,Tables!$A$508:$D$515,4)</f>
        <v>0</v>
      </c>
      <c r="AU120" s="21"/>
    </row>
    <row r="121" spans="1:59">
      <c r="C121" s="80"/>
      <c r="D121" s="3"/>
      <c r="E121" s="41"/>
      <c r="F121" s="4"/>
      <c r="G121" s="3"/>
      <c r="H121" s="69"/>
      <c r="I121" s="69"/>
      <c r="J121" s="69"/>
      <c r="K121" s="3"/>
      <c r="L121" s="3"/>
      <c r="M121" s="106"/>
      <c r="U121" s="69">
        <f t="shared" si="56"/>
        <v>0</v>
      </c>
      <c r="V121" s="69">
        <f t="shared" si="45"/>
        <v>0</v>
      </c>
      <c r="X121" s="12"/>
    </row>
    <row r="122" spans="1:59">
      <c r="A122" t="s">
        <v>82</v>
      </c>
      <c r="B122" s="136">
        <f xml:space="preserve"> D122 * ( AK122 / 12 * 0.2 + AL122 / 3 * 0.2 ) * ( 1 + 1*(Military&gt;0) )</f>
        <v>0</v>
      </c>
      <c r="C122" s="80"/>
      <c r="D122" s="33">
        <v>12</v>
      </c>
      <c r="E122" s="44" t="s">
        <v>39</v>
      </c>
      <c r="F122" s="4"/>
      <c r="G122" s="35"/>
      <c r="H122" s="69">
        <f>AM122</f>
        <v>0</v>
      </c>
      <c r="I122" s="69"/>
      <c r="J122" s="69"/>
      <c r="K122" s="35"/>
      <c r="L122" s="35"/>
      <c r="M122" s="106"/>
      <c r="U122" s="69">
        <f t="shared" si="56"/>
        <v>0</v>
      </c>
      <c r="V122" s="69">
        <f t="shared" si="45"/>
        <v>0</v>
      </c>
      <c r="X122" s="46"/>
      <c r="AK122">
        <f>SUM(AK97:AK121)</f>
        <v>0</v>
      </c>
      <c r="AL122">
        <f>SUM(AL97:AL121)</f>
        <v>0</v>
      </c>
      <c r="AM122">
        <f>SUM(AM97:AM121)</f>
        <v>0</v>
      </c>
      <c r="AN122">
        <f>SUM(AN97:AN121)</f>
        <v>0</v>
      </c>
    </row>
    <row r="123" spans="1:59">
      <c r="C123" s="80"/>
      <c r="D123" s="35"/>
      <c r="E123" s="44"/>
      <c r="F123" s="4"/>
      <c r="G123" s="35"/>
      <c r="H123" s="69"/>
      <c r="I123" s="69"/>
      <c r="J123" s="69"/>
      <c r="K123" s="35"/>
      <c r="L123" s="35"/>
      <c r="M123" s="106"/>
      <c r="U123" s="69">
        <f t="shared" si="56"/>
        <v>0</v>
      </c>
      <c r="V123" s="69">
        <f t="shared" si="45"/>
        <v>0</v>
      </c>
      <c r="X123" s="46"/>
    </row>
    <row r="124" spans="1:59">
      <c r="A124" t="s">
        <v>462</v>
      </c>
      <c r="B124" t="str">
        <f>CONCATENATE( AK122, " / ", AL122 )</f>
        <v>0 / 0</v>
      </c>
      <c r="C124" s="80"/>
      <c r="D124" s="35"/>
      <c r="E124" s="44"/>
      <c r="F124" s="4"/>
      <c r="G124" s="35"/>
      <c r="H124" s="69"/>
      <c r="I124" s="69"/>
      <c r="J124" s="69"/>
      <c r="K124" s="35"/>
      <c r="L124" s="35"/>
      <c r="M124" s="106"/>
      <c r="U124" s="69">
        <f t="shared" si="56"/>
        <v>0</v>
      </c>
      <c r="V124" s="69">
        <f t="shared" si="45"/>
        <v>0</v>
      </c>
      <c r="X124" s="46"/>
    </row>
    <row r="125" spans="1:59">
      <c r="A125" t="s">
        <v>868</v>
      </c>
      <c r="B125" t="str">
        <f>CONCATENATE( AN122+AG127, " / ", AN122/2+AH127 )</f>
        <v>0 / 0</v>
      </c>
      <c r="C125" s="80"/>
      <c r="D125" s="35"/>
      <c r="E125" s="44"/>
      <c r="F125" s="4"/>
      <c r="G125" s="35"/>
      <c r="H125" s="69"/>
      <c r="I125" s="69"/>
      <c r="J125" s="69"/>
      <c r="K125" s="35"/>
      <c r="L125" s="35"/>
      <c r="M125" s="106"/>
      <c r="U125" s="69">
        <f t="shared" si="56"/>
        <v>0</v>
      </c>
      <c r="V125" s="69">
        <f t="shared" si="45"/>
        <v>0</v>
      </c>
      <c r="X125" s="46"/>
    </row>
    <row r="126" spans="1:59">
      <c r="C126" s="80"/>
      <c r="D126" s="35"/>
      <c r="E126" s="44"/>
      <c r="F126" s="4"/>
      <c r="G126" s="35"/>
      <c r="H126" s="69"/>
      <c r="I126" s="69"/>
      <c r="J126" s="69"/>
      <c r="K126" s="35"/>
      <c r="L126" s="35"/>
      <c r="M126" s="106"/>
      <c r="U126" s="69">
        <f t="shared" si="56"/>
        <v>0</v>
      </c>
      <c r="V126" s="69">
        <f t="shared" si="45"/>
        <v>0</v>
      </c>
      <c r="X126" s="46"/>
    </row>
    <row r="127" spans="1:59">
      <c r="A127" t="s">
        <v>528</v>
      </c>
      <c r="B127" t="str">
        <f>CONCATENATE(X127,",",AP127)</f>
        <v>Type II, 2D,Standard</v>
      </c>
      <c r="C127" s="80"/>
      <c r="D127" s="14">
        <v>0</v>
      </c>
      <c r="E127" s="42">
        <v>0</v>
      </c>
      <c r="F127" s="4"/>
      <c r="G127" s="3">
        <f>D127</f>
        <v>0</v>
      </c>
      <c r="H127" s="69">
        <f>G127*Z127*(1-AQ127*10%)</f>
        <v>0</v>
      </c>
      <c r="I127" s="69">
        <f>G127*AA127*(1+AS127)</f>
        <v>0</v>
      </c>
      <c r="J127" s="69">
        <f>G127*AB127</f>
        <v>0</v>
      </c>
      <c r="K127" s="3">
        <f>G127*AC127</f>
        <v>0</v>
      </c>
      <c r="L127" s="3"/>
      <c r="M127" s="106">
        <f t="shared" si="44"/>
        <v>12</v>
      </c>
      <c r="U127" s="69">
        <f t="shared" si="56"/>
        <v>0</v>
      </c>
      <c r="V127" s="69">
        <f t="shared" si="45"/>
        <v>0</v>
      </c>
      <c r="X127" s="1" t="str">
        <f>VLOOKUP($M127,Tables!$A$519:$F$522,2)</f>
        <v>Type II, 2D</v>
      </c>
      <c r="Y127" s="1">
        <f>VLOOKUP($M127,Tables!$A$519:$F$522,1)</f>
        <v>12</v>
      </c>
      <c r="Z127" s="1">
        <f>VLOOKUP($M127,Tables!$A$519:$F$522,3)</f>
        <v>20</v>
      </c>
      <c r="AA127" s="1">
        <f>VLOOKUP($M127,Tables!$A$519:$F$522,4)</f>
        <v>10</v>
      </c>
      <c r="AB127" s="1">
        <f>VLOOKUP($M127,Tables!$A$519:$F$522,5)</f>
        <v>20</v>
      </c>
      <c r="AC127" s="1">
        <f>VLOOKUP($M127,Tables!$A$519:$F$522,6)</f>
        <v>1</v>
      </c>
      <c r="AD127" s="1">
        <f>VLOOKUP($M127,Tables!$A$519:$H$522,7)</f>
        <v>7</v>
      </c>
      <c r="AE127" s="1">
        <f>VLOOKUP($M127,Tables!$A$519:$H$522,8)</f>
        <v>3.25</v>
      </c>
      <c r="AG127">
        <f>ROUNDDOWN( G127*AD127, 0)</f>
        <v>0</v>
      </c>
      <c r="AH127">
        <f>ROUNDDOWN( G127*AE127, 0)</f>
        <v>0</v>
      </c>
      <c r="AP127" s="1" t="str">
        <f>VLOOKUP($AQ127,Tables!$A$508:$D$515,2)</f>
        <v>Standard</v>
      </c>
      <c r="AQ127" s="43">
        <f>MIN($M127-Y127,E127,3)</f>
        <v>0</v>
      </c>
      <c r="AR127" s="30">
        <f>VLOOKUP($AQ127,Tables!$A$508:$D$515,3)</f>
        <v>0</v>
      </c>
      <c r="AS127" s="30">
        <f>VLOOKUP($AQ127,Tables!$A$508:$D$515,4)</f>
        <v>0</v>
      </c>
    </row>
    <row r="128" spans="1:59">
      <c r="C128" s="80"/>
      <c r="D128" s="3"/>
      <c r="E128" s="41"/>
      <c r="F128" s="4"/>
      <c r="G128" s="3"/>
      <c r="H128" s="69"/>
      <c r="I128" s="69"/>
      <c r="J128" s="69"/>
      <c r="K128" s="3"/>
      <c r="L128" s="3"/>
      <c r="M128" s="106"/>
      <c r="U128" s="69">
        <f t="shared" si="56"/>
        <v>0</v>
      </c>
      <c r="V128" s="69">
        <f t="shared" si="45"/>
        <v>0</v>
      </c>
      <c r="X128" s="12"/>
    </row>
    <row r="129" spans="1:45">
      <c r="A129" s="68" t="s">
        <v>67</v>
      </c>
      <c r="C129" s="80"/>
      <c r="D129" s="35"/>
      <c r="E129" s="44"/>
      <c r="F129" s="4"/>
      <c r="G129" s="24">
        <f>D129</f>
        <v>0</v>
      </c>
      <c r="H129" s="69">
        <f>G129*Z129*(1-AQ129*10%)</f>
        <v>0</v>
      </c>
      <c r="I129" s="69">
        <f>G129*AA129*(1+AS129)</f>
        <v>0</v>
      </c>
      <c r="J129" s="69">
        <f>G129*AB129</f>
        <v>0</v>
      </c>
      <c r="K129" s="3"/>
      <c r="L129" s="3">
        <f>G129</f>
        <v>0</v>
      </c>
      <c r="M129" s="106"/>
      <c r="U129" s="69">
        <f t="shared" si="56"/>
        <v>0</v>
      </c>
      <c r="V129" s="69">
        <f t="shared" si="45"/>
        <v>0</v>
      </c>
      <c r="X129" s="12"/>
      <c r="AP129" s="1"/>
      <c r="AQ129" s="43"/>
      <c r="AR129" s="30"/>
      <c r="AS129" s="30"/>
    </row>
    <row r="130" spans="1:45">
      <c r="A130" s="22" t="s">
        <v>90</v>
      </c>
      <c r="B130" t="str">
        <f>AP130</f>
        <v>Standard</v>
      </c>
      <c r="C130" s="80"/>
      <c r="D130" s="14">
        <v>0</v>
      </c>
      <c r="E130" s="42">
        <v>0</v>
      </c>
      <c r="F130" s="4"/>
      <c r="G130" s="24">
        <f>D130</f>
        <v>0</v>
      </c>
      <c r="H130" s="69">
        <f>G130*Z130*(1-MAX(0,AQ130)*10%)</f>
        <v>0</v>
      </c>
      <c r="I130" s="69">
        <f>G130*AA130*(1+AS130)</f>
        <v>0</v>
      </c>
      <c r="J130" s="69">
        <f>G130*AB130</f>
        <v>0</v>
      </c>
      <c r="K130" s="3"/>
      <c r="L130" s="35">
        <f>G130</f>
        <v>0</v>
      </c>
      <c r="M130" s="106">
        <f t="shared" si="44"/>
        <v>12</v>
      </c>
      <c r="U130" s="69">
        <f t="shared" si="56"/>
        <v>0</v>
      </c>
      <c r="V130" s="69">
        <f t="shared" si="45"/>
        <v>0</v>
      </c>
      <c r="X130" t="str">
        <f>VLOOKUP( $A130, Tables!$A$501:$E$505, 1, 0 )</f>
        <v>Nuclear Damper</v>
      </c>
      <c r="Y130">
        <f>VLOOKUP( $A130, Tables!$A$501:$E$505, 2, 0 )</f>
        <v>12</v>
      </c>
      <c r="Z130">
        <f>VLOOKUP( $A130, Tables!$A$501:$E$505, 3, 0 )</f>
        <v>10</v>
      </c>
      <c r="AA130">
        <f>VLOOKUP( $A130, Tables!$A$501:$E$505, 4, 0 )</f>
        <v>10</v>
      </c>
      <c r="AB130">
        <f>VLOOKUP( $A130, Tables!$A$501:$E$505, 5, 0 )</f>
        <v>20</v>
      </c>
      <c r="AP130" s="1" t="str">
        <f>VLOOKUP($AQ130,Tables!$A$508:$D$515,2)</f>
        <v>Standard</v>
      </c>
      <c r="AQ130" s="43">
        <f>MIN($M130-Y130,E130,3)</f>
        <v>0</v>
      </c>
      <c r="AR130" s="30">
        <f>VLOOKUP($AQ130,Tables!$A$508:$D$515,3)</f>
        <v>0</v>
      </c>
      <c r="AS130" s="30">
        <f>VLOOKUP($AQ130,Tables!$A$508:$D$515,4)</f>
        <v>0</v>
      </c>
    </row>
    <row r="131" spans="1:45">
      <c r="A131" s="22" t="s">
        <v>778</v>
      </c>
      <c r="B131" t="str">
        <f>AP131</f>
        <v>Prototype</v>
      </c>
      <c r="C131" s="80"/>
      <c r="D131" s="33">
        <v>0</v>
      </c>
      <c r="E131" s="42">
        <v>0</v>
      </c>
      <c r="F131" s="4"/>
      <c r="G131" s="35">
        <f>D131</f>
        <v>0</v>
      </c>
      <c r="H131" s="69">
        <f>G131*Z131*(1-MAX(0,AQ131)*10%)</f>
        <v>0</v>
      </c>
      <c r="I131" s="69">
        <f>G131*AA131*(1+AS131)</f>
        <v>0</v>
      </c>
      <c r="J131" s="69">
        <f>G131*AB131</f>
        <v>0</v>
      </c>
      <c r="K131" s="35"/>
      <c r="L131" s="35">
        <f>G131</f>
        <v>0</v>
      </c>
      <c r="M131" s="106">
        <f t="shared" si="44"/>
        <v>12</v>
      </c>
      <c r="U131" s="69">
        <f t="shared" si="56"/>
        <v>0</v>
      </c>
      <c r="V131" s="69">
        <f t="shared" si="45"/>
        <v>0</v>
      </c>
      <c r="X131" t="str">
        <f>VLOOKUP( $A131, Tables!$A$501:$E$505, 1, 0 )</f>
        <v>Meson</v>
      </c>
      <c r="Y131">
        <f>VLOOKUP( $A131, Tables!$A$501:$E$505, 2, 0 )</f>
        <v>13</v>
      </c>
      <c r="Z131">
        <f>VLOOKUP( $A131, Tables!$A$501:$E$505, 3, 0 )</f>
        <v>10</v>
      </c>
      <c r="AA131">
        <f>VLOOKUP( $A131, Tables!$A$501:$E$505, 4, 0 )</f>
        <v>20</v>
      </c>
      <c r="AB131">
        <f>VLOOKUP( $A131, Tables!$A$501:$E$505, 5, 0 )</f>
        <v>30</v>
      </c>
      <c r="AP131" s="1" t="str">
        <f>VLOOKUP($AQ131,Tables!$A$508:$D$515,2)</f>
        <v>Prototype</v>
      </c>
      <c r="AQ131" s="43">
        <f>MIN($M131-Y131,E131,3)</f>
        <v>-1</v>
      </c>
      <c r="AR131" s="30">
        <f>VLOOKUP($AQ131,Tables!$A$508:$D$515,3)</f>
        <v>0</v>
      </c>
      <c r="AS131" s="30">
        <f>VLOOKUP($AQ131,Tables!$A$508:$D$515,4)</f>
        <v>5</v>
      </c>
    </row>
    <row r="132" spans="1:45">
      <c r="A132" s="68" t="s">
        <v>35</v>
      </c>
      <c r="C132" s="80"/>
      <c r="D132" s="3"/>
      <c r="E132" s="100" t="s">
        <v>96</v>
      </c>
      <c r="F132" s="101" t="s">
        <v>311</v>
      </c>
      <c r="G132" s="3"/>
      <c r="H132" s="69"/>
      <c r="I132" s="69"/>
      <c r="J132" s="69"/>
      <c r="K132" s="3"/>
      <c r="L132" s="3"/>
      <c r="M132" s="106"/>
      <c r="N132" s="1" t="s">
        <v>740</v>
      </c>
      <c r="O132" s="1"/>
      <c r="P132" s="1"/>
      <c r="Q132" s="1"/>
      <c r="R132" s="1"/>
      <c r="S132" s="1"/>
      <c r="T132" s="1"/>
      <c r="U132" s="69">
        <f t="shared" si="56"/>
        <v>0</v>
      </c>
      <c r="V132" s="69">
        <f t="shared" si="45"/>
        <v>0</v>
      </c>
      <c r="Z132" s="1" t="s">
        <v>838</v>
      </c>
      <c r="AA132" s="1" t="s">
        <v>1</v>
      </c>
      <c r="AB132" s="1" t="s">
        <v>765</v>
      </c>
      <c r="AC132" s="1" t="s">
        <v>875</v>
      </c>
      <c r="AD132" s="1" t="s">
        <v>876</v>
      </c>
      <c r="AE132" s="1" t="s">
        <v>274</v>
      </c>
      <c r="AJ132" s="1" t="s">
        <v>682</v>
      </c>
      <c r="AK132" t="s">
        <v>703</v>
      </c>
    </row>
    <row r="133" spans="1:45">
      <c r="A133" s="22" t="s">
        <v>405</v>
      </c>
      <c r="B133" s="47" t="s">
        <v>95</v>
      </c>
      <c r="C133" s="80">
        <v>0</v>
      </c>
      <c r="D133" s="42">
        <f xml:space="preserve"> 1 * (E133&gt;0)</f>
        <v>0</v>
      </c>
      <c r="E133" s="44">
        <f>AH133</f>
        <v>0</v>
      </c>
      <c r="F133" s="102">
        <f>AI133 * (AE133&gt;0)</f>
        <v>0</v>
      </c>
      <c r="G133" s="44">
        <f xml:space="preserve"> ROUNDUP( D133,0)</f>
        <v>0</v>
      </c>
      <c r="H133" s="69">
        <f xml:space="preserve"> G133 * ROUNDUP( E133 * Z133, 0 )</f>
        <v>0</v>
      </c>
      <c r="I133" s="69">
        <f xml:space="preserve"> H133 * AA133 + G133*F133*AE133</f>
        <v>0</v>
      </c>
      <c r="J133" s="69">
        <f xml:space="preserve"> H133 * AB133</f>
        <v>0</v>
      </c>
      <c r="L133" s="71">
        <f xml:space="preserve"> ROUNDUP( H133*AC133 + G133*AD133*(AE133&gt;0), 0 )</f>
        <v>0</v>
      </c>
      <c r="M133" s="106"/>
      <c r="N133" t="str">
        <f xml:space="preserve"> IF( AND(AE133=0,H133&gt;0), "No craft included", "" )</f>
        <v/>
      </c>
      <c r="U133" s="69">
        <f t="shared" ref="U133" si="76">I133*50%*(J133&gt;0)</f>
        <v>0</v>
      </c>
      <c r="V133" s="69">
        <f t="shared" ref="V133" si="77" xml:space="preserve"> (C133&gt;0) * H133 * 10%</f>
        <v>0</v>
      </c>
      <c r="Y133">
        <f>G133*F133</f>
        <v>0</v>
      </c>
      <c r="Z133" s="86">
        <f xml:space="preserve"> VLOOKUP( $A133, Tables!$A$526:$F$532, 3, 0 )</f>
        <v>2</v>
      </c>
      <c r="AA133">
        <f xml:space="preserve"> VLOOKUP( $A133, Tables!$A$526:$F$532, 4, 0 )</f>
        <v>0.2</v>
      </c>
      <c r="AB133">
        <f xml:space="preserve"> VLOOKUP( $A133, Tables!$A$526:$F$532, 5, 0 )</f>
        <v>0</v>
      </c>
      <c r="AC133">
        <f xml:space="preserve"> VLOOKUP( $A133, Tables!$A$526:$F$532, 6, 0 )</f>
        <v>0</v>
      </c>
      <c r="AD133">
        <f xml:space="preserve"> VLOOKUP( $A133, Tables!$A$526:$G$532, 7, 0 ) + 1*(Military&gt;0)</f>
        <v>2</v>
      </c>
      <c r="AE133">
        <f xml:space="preserve"> VLOOKUP( $A133, Tables!$A$526:$H$532, 8, 0 )</f>
        <v>1</v>
      </c>
      <c r="AG133" t="str">
        <f xml:space="preserve"> VLOOKUP( $B133, Tables!$A$544:$C$565, 1, 0 )</f>
        <v/>
      </c>
      <c r="AH133">
        <f xml:space="preserve"> VLOOKUP( $B133, Tables!$A$544:$C$565, 2, 0 )</f>
        <v>0</v>
      </c>
      <c r="AI133">
        <f xml:space="preserve"> VLOOKUP( $B133, Tables!$A$544:$C$565, 3, 0 )</f>
        <v>0</v>
      </c>
      <c r="AJ133">
        <f xml:space="preserve"> VLOOKUP( $B133, Tables!$A$544:$D$565, 4, 0 )</f>
        <v>0</v>
      </c>
      <c r="AK133">
        <f xml:space="preserve"> G133 * AH133 * AJ133</f>
        <v>0</v>
      </c>
    </row>
    <row r="134" spans="1:45">
      <c r="A134" s="22" t="s">
        <v>406</v>
      </c>
      <c r="B134" s="47" t="s">
        <v>95</v>
      </c>
      <c r="C134" s="80">
        <v>0</v>
      </c>
      <c r="D134" s="42">
        <f t="shared" ref="D134:D136" si="78" xml:space="preserve"> 1 * (E134&gt;0)</f>
        <v>0</v>
      </c>
      <c r="E134" s="44">
        <f t="shared" ref="E134:E136" si="79">AH134</f>
        <v>0</v>
      </c>
      <c r="F134" s="102">
        <f>AI134 * (AE134&gt;0)</f>
        <v>0</v>
      </c>
      <c r="G134" s="44">
        <f xml:space="preserve"> ROUNDUP( D134,0)</f>
        <v>0</v>
      </c>
      <c r="H134" s="69">
        <f xml:space="preserve"> G134 * ROUNDUP( E134 * Z134, 0 )</f>
        <v>0</v>
      </c>
      <c r="I134" s="69">
        <f xml:space="preserve"> H134 * AA134 + G134*F134*AE134</f>
        <v>0</v>
      </c>
      <c r="J134" s="69">
        <f xml:space="preserve"> H134 * AB134</f>
        <v>0</v>
      </c>
      <c r="L134" s="71">
        <f xml:space="preserve"> ROUNDUP( H134*AC134 + G134*AD134*(AE134&gt;0), 0 )</f>
        <v>0</v>
      </c>
      <c r="M134" s="106"/>
      <c r="N134" t="str">
        <f xml:space="preserve"> IF( AND(AE134=0,H134&gt;0), "No craft included", "" )</f>
        <v/>
      </c>
      <c r="P134" s="99" t="s">
        <v>18</v>
      </c>
      <c r="U134" s="69">
        <f t="shared" ref="U134" si="80">I134*50%*(J134&gt;0)</f>
        <v>0</v>
      </c>
      <c r="V134" s="69">
        <f t="shared" ref="V134" si="81" xml:space="preserve"> (C134&gt;0) * H134 * 10%</f>
        <v>0</v>
      </c>
      <c r="Y134">
        <f t="shared" ref="Y134:Y136" si="82">G134*F134</f>
        <v>0</v>
      </c>
      <c r="Z134" s="86">
        <f xml:space="preserve"> VLOOKUP( $A134, Tables!$A$526:$F$532, 3, 0 )</f>
        <v>1.1000000000000001</v>
      </c>
      <c r="AA134">
        <f xml:space="preserve"> VLOOKUP( $A134, Tables!$A$526:$F$532, 4, 0 )</f>
        <v>0.25</v>
      </c>
      <c r="AB134">
        <f xml:space="preserve"> VLOOKUP( $A134, Tables!$A$526:$F$532, 5, 0 )</f>
        <v>0</v>
      </c>
      <c r="AC134">
        <f xml:space="preserve"> VLOOKUP( $A134, Tables!$A$526:$F$532, 6, 0 )</f>
        <v>0</v>
      </c>
      <c r="AD134">
        <f xml:space="preserve"> VLOOKUP( $A134, Tables!$A$526:$G$532, 7, 0 ) + 1*(Military&gt;0)</f>
        <v>1</v>
      </c>
      <c r="AE134">
        <f xml:space="preserve"> VLOOKUP( $A134, Tables!$A$526:$H$532, 8, 0 )</f>
        <v>1</v>
      </c>
      <c r="AG134" t="str">
        <f xml:space="preserve"> VLOOKUP( $B134, Tables!$A$544:$C$565, 1, 0 )</f>
        <v/>
      </c>
      <c r="AH134">
        <f xml:space="preserve"> VLOOKUP( $B134, Tables!$A$544:$C$565, 2, 0 )</f>
        <v>0</v>
      </c>
      <c r="AI134">
        <f xml:space="preserve"> VLOOKUP( $B134, Tables!$A$544:$C$565, 3, 0 )</f>
        <v>0</v>
      </c>
      <c r="AJ134">
        <f xml:space="preserve"> VLOOKUP( $B134, Tables!$A$544:$D$565, 4, 0 )</f>
        <v>0</v>
      </c>
      <c r="AK134">
        <f t="shared" ref="AK134:AK136" si="83" xml:space="preserve"> G134 * AH134 * AJ134</f>
        <v>0</v>
      </c>
    </row>
    <row r="135" spans="1:45">
      <c r="A135" t="s">
        <v>677</v>
      </c>
      <c r="B135" s="47" t="s">
        <v>95</v>
      </c>
      <c r="C135" s="80"/>
      <c r="D135" s="42">
        <f t="shared" si="78"/>
        <v>0</v>
      </c>
      <c r="E135" s="44">
        <f t="shared" si="79"/>
        <v>0</v>
      </c>
      <c r="F135" s="102">
        <f t="shared" ref="F135:F136" si="84">AI135</f>
        <v>0</v>
      </c>
      <c r="G135" s="44">
        <f t="shared" ref="G135:G136" si="85" xml:space="preserve"> ROUNDUP( D135,0)</f>
        <v>0</v>
      </c>
      <c r="H135" s="69">
        <f xml:space="preserve"> G135 * Z135 * IF( E135&gt;P135, ROUNDUP(E135/P135,0), 1 )</f>
        <v>0</v>
      </c>
      <c r="I135" s="69">
        <f>G135*AA135 * IF( E135&gt;P135, ROUNDUP(E135/P135,0), 1 )  +  G135 * F135</f>
        <v>0</v>
      </c>
      <c r="J135" s="69"/>
      <c r="L135" s="3">
        <f>G135*MAX(1,AD135)</f>
        <v>0</v>
      </c>
      <c r="M135" s="106"/>
      <c r="N135" s="44">
        <f>D135*E135</f>
        <v>0</v>
      </c>
      <c r="O135" s="44"/>
      <c r="P135" s="42">
        <v>10000</v>
      </c>
      <c r="Q135" s="44"/>
      <c r="R135" s="44"/>
      <c r="S135" s="44"/>
      <c r="T135" s="44"/>
      <c r="U135" s="69">
        <f t="shared" si="56"/>
        <v>0</v>
      </c>
      <c r="V135" s="69">
        <f t="shared" si="45"/>
        <v>0</v>
      </c>
      <c r="X135" t="str">
        <f>VLOOKUP($E135,Tables!$A$536:$D$540,2)</f>
        <v>Type I, 30 dT</v>
      </c>
      <c r="Y135">
        <f t="shared" si="82"/>
        <v>0</v>
      </c>
      <c r="Z135">
        <f>VLOOKUP($E135,Tables!$A$536:$D$540,3)</f>
        <v>1</v>
      </c>
      <c r="AA135">
        <f>VLOOKUP($E135,Tables!$A$536:$D$540,4)</f>
        <v>0.5</v>
      </c>
      <c r="AD135">
        <f xml:space="preserve"> 1 + 1*(Military&gt;0)</f>
        <v>1</v>
      </c>
      <c r="AE135">
        <v>1</v>
      </c>
      <c r="AG135" t="str">
        <f xml:space="preserve"> VLOOKUP( $B135, Tables!$A$544:$C$565, 1, 0 )</f>
        <v/>
      </c>
      <c r="AH135">
        <f xml:space="preserve"> VLOOKUP( $B135, Tables!$A$544:$C$565, 2, 0 )</f>
        <v>0</v>
      </c>
      <c r="AI135">
        <f xml:space="preserve"> VLOOKUP( $B135, Tables!$A$544:$C$565, 3, 0 )</f>
        <v>0</v>
      </c>
      <c r="AJ135">
        <f xml:space="preserve"> VLOOKUP( $B135, Tables!$A$544:$D$565, 4, 0 )</f>
        <v>0</v>
      </c>
      <c r="AK135">
        <f t="shared" si="83"/>
        <v>0</v>
      </c>
    </row>
    <row r="136" spans="1:45">
      <c r="A136" t="s">
        <v>677</v>
      </c>
      <c r="B136" s="47" t="s">
        <v>95</v>
      </c>
      <c r="C136" s="80"/>
      <c r="D136" s="42">
        <f t="shared" si="78"/>
        <v>0</v>
      </c>
      <c r="E136" s="44">
        <f t="shared" si="79"/>
        <v>0</v>
      </c>
      <c r="F136" s="102">
        <f t="shared" si="84"/>
        <v>0</v>
      </c>
      <c r="G136" s="44">
        <f t="shared" si="85"/>
        <v>0</v>
      </c>
      <c r="H136" s="69">
        <f xml:space="preserve"> G136 * Z136 * IF( E136&gt;P136, ROUNDUP(E136/P136,0), 1 )</f>
        <v>0</v>
      </c>
      <c r="I136" s="69">
        <f>G136*AA136 * IF( E136&gt;P136, ROUNDUP(E136/P136,0), 1 )  +  G136 * F136</f>
        <v>0</v>
      </c>
      <c r="J136" s="69"/>
      <c r="L136" s="71">
        <f>G136*MAX(1,AD136)</f>
        <v>0</v>
      </c>
      <c r="M136" s="106"/>
      <c r="N136" s="44">
        <f>D136*E136</f>
        <v>0</v>
      </c>
      <c r="O136" s="44"/>
      <c r="P136" s="42">
        <v>10000</v>
      </c>
      <c r="Q136" s="44"/>
      <c r="R136" s="44"/>
      <c r="S136" s="44"/>
      <c r="T136" s="44"/>
      <c r="U136" s="69">
        <f t="shared" si="56"/>
        <v>0</v>
      </c>
      <c r="V136" s="69">
        <f t="shared" si="45"/>
        <v>0</v>
      </c>
      <c r="X136" t="str">
        <f>VLOOKUP($E136,Tables!$A$536:$D$540,2)</f>
        <v>Type I, 30 dT</v>
      </c>
      <c r="Y136">
        <f t="shared" si="82"/>
        <v>0</v>
      </c>
      <c r="Z136">
        <f>VLOOKUP($E136,Tables!$A$536:$D$540,3)</f>
        <v>1</v>
      </c>
      <c r="AA136">
        <f>VLOOKUP($E136,Tables!$A$536:$D$540,4)</f>
        <v>0.5</v>
      </c>
      <c r="AD136">
        <f xml:space="preserve"> 1 + 1*(Military&gt;0)</f>
        <v>1</v>
      </c>
      <c r="AE136">
        <v>1</v>
      </c>
      <c r="AG136" t="str">
        <f xml:space="preserve"> VLOOKUP( $B136, Tables!$A$544:$C$565, 1, 0 )</f>
        <v/>
      </c>
      <c r="AH136">
        <f xml:space="preserve"> VLOOKUP( $B136, Tables!$A$544:$C$565, 2, 0 )</f>
        <v>0</v>
      </c>
      <c r="AI136">
        <f xml:space="preserve"> VLOOKUP( $B136, Tables!$A$544:$C$565, 3, 0 )</f>
        <v>0</v>
      </c>
      <c r="AJ136">
        <f xml:space="preserve"> VLOOKUP( $B136, Tables!$A$544:$D$565, 4, 0 )</f>
        <v>0</v>
      </c>
      <c r="AK136">
        <f t="shared" si="83"/>
        <v>0</v>
      </c>
    </row>
    <row r="137" spans="1:45">
      <c r="A137" t="s">
        <v>368</v>
      </c>
      <c r="B137" s="57">
        <f>H137*20</f>
        <v>0</v>
      </c>
      <c r="C137" s="80"/>
      <c r="D137" s="33">
        <v>0</v>
      </c>
      <c r="E137" s="44"/>
      <c r="F137" s="4"/>
      <c r="G137" s="71">
        <f t="shared" ref="G137" si="86">D137</f>
        <v>0</v>
      </c>
      <c r="H137" s="69">
        <f>G137</f>
        <v>0</v>
      </c>
      <c r="I137" s="69">
        <f>H137*0.5</f>
        <v>0</v>
      </c>
      <c r="J137" s="69">
        <f>G137</f>
        <v>0</v>
      </c>
      <c r="K137" s="71"/>
      <c r="L137" s="71"/>
      <c r="M137" s="106"/>
      <c r="U137" s="69">
        <f t="shared" ref="U137" si="87">I137*50%*(J137&gt;0)</f>
        <v>0</v>
      </c>
      <c r="V137" s="69">
        <f t="shared" si="45"/>
        <v>0</v>
      </c>
      <c r="X137" s="46"/>
    </row>
    <row r="138" spans="1:45">
      <c r="C138" s="80"/>
      <c r="E138" s="44" t="s">
        <v>141</v>
      </c>
      <c r="F138" t="s">
        <v>142</v>
      </c>
      <c r="G138" s="44"/>
      <c r="H138" s="69"/>
      <c r="I138" s="69"/>
      <c r="J138" s="69"/>
      <c r="L138" s="35"/>
      <c r="M138" s="106"/>
      <c r="U138" s="69">
        <f t="shared" si="56"/>
        <v>0</v>
      </c>
      <c r="V138" s="69">
        <f t="shared" si="45"/>
        <v>0</v>
      </c>
    </row>
    <row r="139" spans="1:45">
      <c r="A139" t="s">
        <v>146</v>
      </c>
      <c r="C139" s="80"/>
      <c r="D139" s="33">
        <v>0</v>
      </c>
      <c r="E139" s="33">
        <f xml:space="preserve"> 12 * (D139&gt;0)</f>
        <v>0</v>
      </c>
      <c r="F139" s="33">
        <f xml:space="preserve"> 12 * (D139&gt;0)</f>
        <v>0</v>
      </c>
      <c r="G139" s="44">
        <f xml:space="preserve"> D139</f>
        <v>0</v>
      </c>
      <c r="H139" s="69">
        <f xml:space="preserve"> G139 * ( 12 + MIN(12,E139) + F139 )</f>
        <v>0</v>
      </c>
      <c r="I139" s="69">
        <f xml:space="preserve"> G139 * 4</f>
        <v>0</v>
      </c>
      <c r="J139" s="69"/>
      <c r="L139" s="71"/>
      <c r="M139" s="106"/>
      <c r="U139" s="69"/>
      <c r="V139" s="69"/>
    </row>
    <row r="140" spans="1:45">
      <c r="A140" t="s">
        <v>147</v>
      </c>
      <c r="C140" s="80"/>
      <c r="D140" s="33">
        <v>0</v>
      </c>
      <c r="E140" s="44">
        <f xml:space="preserve"> 1 * (D140&gt;0)</f>
        <v>0</v>
      </c>
      <c r="F140" s="33">
        <f xml:space="preserve"> 1 * (D140&gt;0)</f>
        <v>0</v>
      </c>
      <c r="G140" s="44">
        <f xml:space="preserve"> D140</f>
        <v>0</v>
      </c>
      <c r="H140" s="69">
        <f xml:space="preserve"> G140 * 6 * ( 1 + MIN(1,E140) + F140 )</f>
        <v>0</v>
      </c>
      <c r="I140" s="69">
        <f xml:space="preserve"> G140 * 6</f>
        <v>0</v>
      </c>
      <c r="J140" s="69"/>
      <c r="L140" s="71"/>
      <c r="M140" s="106"/>
      <c r="U140" s="69"/>
      <c r="V140" s="69"/>
    </row>
    <row r="141" spans="1:45">
      <c r="C141" s="80"/>
      <c r="E141" s="44"/>
      <c r="G141" s="44"/>
      <c r="H141" s="69"/>
      <c r="I141" s="69"/>
      <c r="J141" s="69"/>
      <c r="L141" s="71"/>
      <c r="M141" s="106"/>
      <c r="U141" s="69"/>
      <c r="V141" s="69"/>
    </row>
    <row r="142" spans="1:45">
      <c r="A142" t="s">
        <v>407</v>
      </c>
      <c r="C142" s="80"/>
      <c r="H142" s="69"/>
      <c r="I142" s="69"/>
      <c r="J142" s="69"/>
      <c r="L142" s="71">
        <v>0</v>
      </c>
      <c r="M142" s="106">
        <f t="shared" ref="M142:M143" si="88">TL</f>
        <v>12</v>
      </c>
      <c r="U142" s="69">
        <f t="shared" ref="U142" si="89">I142*50%*(J142&gt;0)</f>
        <v>0</v>
      </c>
      <c r="V142" s="69">
        <f t="shared" ref="V142" si="90" xml:space="preserve"> (C142&gt;0) * H142 * 10%</f>
        <v>0</v>
      </c>
    </row>
    <row r="143" spans="1:45">
      <c r="A143" t="s">
        <v>407</v>
      </c>
      <c r="C143" s="80"/>
      <c r="H143" s="69"/>
      <c r="I143" s="69"/>
      <c r="J143" s="69"/>
      <c r="L143" s="35">
        <v>0</v>
      </c>
      <c r="M143" s="106">
        <f t="shared" si="88"/>
        <v>12</v>
      </c>
      <c r="U143" s="69">
        <f t="shared" si="56"/>
        <v>0</v>
      </c>
      <c r="V143" s="69">
        <f t="shared" si="45"/>
        <v>0</v>
      </c>
    </row>
    <row r="144" spans="1:45">
      <c r="C144" s="80"/>
      <c r="H144" s="69"/>
      <c r="I144" s="69"/>
      <c r="J144" s="69"/>
      <c r="L144" s="35"/>
      <c r="M144" s="106"/>
      <c r="U144" s="69">
        <f t="shared" si="56"/>
        <v>0</v>
      </c>
      <c r="V144" s="69">
        <f t="shared" si="45"/>
        <v>0</v>
      </c>
    </row>
    <row r="145" spans="1:27">
      <c r="A145" s="55" t="s">
        <v>465</v>
      </c>
      <c r="B145" s="151">
        <f>MAX(B146:B161)</f>
        <v>10</v>
      </c>
      <c r="C145" s="44"/>
      <c r="H145" s="69"/>
      <c r="I145" s="69">
        <f>SUM(I146:I160)</f>
        <v>0.2</v>
      </c>
      <c r="J145" s="69"/>
      <c r="L145" s="24"/>
      <c r="M145" s="106"/>
      <c r="X145" s="1" t="s">
        <v>832</v>
      </c>
      <c r="Y145" t="s">
        <v>238</v>
      </c>
      <c r="Z145" s="1" t="s">
        <v>687</v>
      </c>
      <c r="AA145" s="1" t="s">
        <v>470</v>
      </c>
    </row>
    <row r="146" spans="1:27">
      <c r="A146" t="str">
        <f t="shared" ref="A146:A156" si="91">IF(X146&gt;0,CONCATENATE(Y146,"/",F146),"")</f>
        <v>Intellect/0</v>
      </c>
      <c r="B146" s="150">
        <f>Z146</f>
        <v>0</v>
      </c>
      <c r="C146" s="44"/>
      <c r="D146" s="14">
        <f xml:space="preserve"> 9 * OR( LargeShip&gt;0, Hull&gt;=400 )</f>
        <v>0</v>
      </c>
      <c r="E146" s="37"/>
      <c r="F146" s="24">
        <f t="shared" ref="F146:F160" si="92">MIN(D146,X146)</f>
        <v>0</v>
      </c>
      <c r="G146" s="24">
        <f>1*(D146&gt;0)</f>
        <v>0</v>
      </c>
      <c r="H146" s="24"/>
      <c r="I146" s="69">
        <f t="shared" ref="I146:I160" si="93">G146*AA146</f>
        <v>0</v>
      </c>
      <c r="J146" s="24"/>
      <c r="L146" s="24"/>
      <c r="M146" s="106">
        <f t="shared" ref="M146:M160" si="94">TL</f>
        <v>12</v>
      </c>
      <c r="X146">
        <f>VLOOKUP(M146,Tables!$A$197:$E$198,2)</f>
        <v>1</v>
      </c>
      <c r="Y146" t="str">
        <f>VLOOKUP(M146,Tables!$A$197:$E$198,3)</f>
        <v>Intellect</v>
      </c>
      <c r="Z146">
        <f>VLOOKUP($F146,Tables!$B$197:$E$198,3)</f>
        <v>0</v>
      </c>
      <c r="AA146">
        <f>VLOOKUP($F146,Tables!$B$197:$E$198,4)</f>
        <v>0</v>
      </c>
    </row>
    <row r="147" spans="1:27">
      <c r="A147" t="str">
        <f t="shared" si="91"/>
        <v>Jump Control/2</v>
      </c>
      <c r="B147" s="150">
        <f t="shared" ref="B147:B153" si="95">Z147</f>
        <v>10</v>
      </c>
      <c r="C147" s="44"/>
      <c r="D147" s="14">
        <f xml:space="preserve"> F39*(Hull&lt;10000)</f>
        <v>2</v>
      </c>
      <c r="E147" s="37"/>
      <c r="F147" s="24">
        <f t="shared" si="92"/>
        <v>2</v>
      </c>
      <c r="G147" s="24">
        <f t="shared" ref="G147:G153" si="96">1*(D147&gt;0)</f>
        <v>1</v>
      </c>
      <c r="H147" s="24"/>
      <c r="I147" s="69">
        <f t="shared" si="93"/>
        <v>0.2</v>
      </c>
      <c r="J147" s="24"/>
      <c r="L147" s="24"/>
      <c r="M147" s="106">
        <f t="shared" si="94"/>
        <v>12</v>
      </c>
      <c r="X147">
        <f>VLOOKUP(M147,Tables!$A$200:$E$206,2)</f>
        <v>3</v>
      </c>
      <c r="Y147" t="str">
        <f>VLOOKUP(M147,Tables!$A$200:$E$206,3)</f>
        <v>Jump Control</v>
      </c>
      <c r="Z147">
        <f>VLOOKUP($F147,Tables!$B$200:$E$206,3)</f>
        <v>10</v>
      </c>
      <c r="AA147">
        <f>VLOOKUP($F147,Tables!$B$200:$E$206,4)</f>
        <v>0.2</v>
      </c>
    </row>
    <row r="148" spans="1:27">
      <c r="A148" t="str">
        <f t="shared" si="91"/>
        <v>Evade/0</v>
      </c>
      <c r="B148" s="150">
        <f t="shared" si="95"/>
        <v>0</v>
      </c>
      <c r="C148" s="44"/>
      <c r="D148" s="14">
        <f xml:space="preserve"> MAX( 1*(Military&gt;0), 2*(Military&gt;0)*(Hull&gt;=35), 9*(Military&gt;0)*(Hull&gt;=100), 1*(IFERROR(SUM( G105:G115 ),0)&gt;0), 9*(IFERROR(SUM( G105:G115 ),0)&gt;=10), 9*(IFERROR(SUM( G94:G105),0)&gt;0) )</f>
        <v>0</v>
      </c>
      <c r="E148" s="37"/>
      <c r="F148" s="24">
        <f t="shared" si="92"/>
        <v>0</v>
      </c>
      <c r="G148" s="24">
        <f t="shared" si="96"/>
        <v>0</v>
      </c>
      <c r="H148" s="24"/>
      <c r="I148" s="69">
        <f t="shared" si="93"/>
        <v>0</v>
      </c>
      <c r="J148" s="24"/>
      <c r="L148" s="24"/>
      <c r="M148" s="106">
        <f t="shared" si="94"/>
        <v>12</v>
      </c>
      <c r="X148">
        <f>VLOOKUP(M148,Tables!$A$208:$E$211,2)</f>
        <v>2</v>
      </c>
      <c r="Y148" t="str">
        <f>VLOOKUP(M148,Tables!$A$208:$E$211,3)</f>
        <v>Evade</v>
      </c>
      <c r="Z148">
        <f>VLOOKUP($F148,Tables!$B$208:$E$211,3)</f>
        <v>0</v>
      </c>
      <c r="AA148">
        <f>VLOOKUP($F148,Tables!$B$208:$E$211,4)</f>
        <v>0</v>
      </c>
    </row>
    <row r="149" spans="1:27">
      <c r="A149" t="str">
        <f t="shared" si="91"/>
        <v>Fire Control/0</v>
      </c>
      <c r="B149" s="150">
        <f t="shared" si="95"/>
        <v>0</v>
      </c>
      <c r="C149" s="44"/>
      <c r="D149" s="14">
        <f xml:space="preserve"> MAX( 2*(Military&gt;0), 3*(Military&gt;0)*(Hull&gt;=35), 9*(Military&gt;0)*(Hull&gt;=100), 9*(IFERROR(G95,0)&gt;0), IFERROR(SUM( G105:G115 ),0) )</f>
        <v>0</v>
      </c>
      <c r="E149" s="37"/>
      <c r="F149" s="24">
        <f t="shared" si="92"/>
        <v>0</v>
      </c>
      <c r="G149" s="24">
        <f t="shared" si="96"/>
        <v>0</v>
      </c>
      <c r="H149" s="24"/>
      <c r="I149" s="69">
        <f t="shared" si="93"/>
        <v>0</v>
      </c>
      <c r="J149" s="24"/>
      <c r="L149" s="24"/>
      <c r="M149" s="106">
        <f t="shared" si="94"/>
        <v>12</v>
      </c>
      <c r="X149">
        <f>VLOOKUP(M149,Tables!A213:E218,2)</f>
        <v>4</v>
      </c>
      <c r="Y149" t="str">
        <f>VLOOKUP(M149,Tables!A213:E218,3)</f>
        <v>Fire Control</v>
      </c>
      <c r="Z149">
        <f>VLOOKUP($F149,Tables!B213:E218,3)</f>
        <v>0</v>
      </c>
      <c r="AA149">
        <f>VLOOKUP($F149,Tables!B213:E218,4)</f>
        <v>0</v>
      </c>
    </row>
    <row r="150" spans="1:27">
      <c r="A150" t="str">
        <f t="shared" si="91"/>
        <v>Advanced Fire Control/0</v>
      </c>
      <c r="B150" s="150">
        <f t="shared" si="95"/>
        <v>0</v>
      </c>
      <c r="C150" s="44"/>
      <c r="D150" s="14">
        <f xml:space="preserve"> MAX( 9*(Military&gt;0)*(Hull&gt;=400),  9*(IFERROR(SUM( G105:G115 ),0)&gt;=10) )</f>
        <v>0</v>
      </c>
      <c r="E150" s="37"/>
      <c r="F150" s="24">
        <f t="shared" si="92"/>
        <v>0</v>
      </c>
      <c r="G150" s="24">
        <f t="shared" si="96"/>
        <v>0</v>
      </c>
      <c r="H150" s="24"/>
      <c r="I150" s="69">
        <f t="shared" si="93"/>
        <v>0</v>
      </c>
      <c r="J150" s="24"/>
      <c r="L150" s="24"/>
      <c r="M150" s="106">
        <f t="shared" si="94"/>
        <v>12</v>
      </c>
      <c r="X150">
        <f>VLOOKUP(M150,Tables!$A$224:$E$227,2)</f>
        <v>2</v>
      </c>
      <c r="Y150" t="str">
        <f>VLOOKUP(M150,Tables!$A$224:$E$227,3)</f>
        <v>Advanced Fire Control</v>
      </c>
      <c r="Z150">
        <f>VLOOKUP($F150,Tables!$B$224:$E$227,3)</f>
        <v>0</v>
      </c>
      <c r="AA150">
        <f>VLOOKUP($F150,Tables!$B$224:$E$227,4)</f>
        <v>0</v>
      </c>
    </row>
    <row r="151" spans="1:27">
      <c r="A151" t="str">
        <f t="shared" si="91"/>
        <v>Launch Solution/0</v>
      </c>
      <c r="B151" s="150">
        <f>Z151</f>
        <v>0</v>
      </c>
      <c r="C151" s="44"/>
      <c r="D151" s="14">
        <f xml:space="preserve"> 9*(AK122&gt;100)</f>
        <v>0</v>
      </c>
      <c r="E151" s="37"/>
      <c r="F151" s="24">
        <f t="shared" si="92"/>
        <v>0</v>
      </c>
      <c r="G151" s="24">
        <f>1*(D151&gt;0)</f>
        <v>0</v>
      </c>
      <c r="H151" s="24"/>
      <c r="I151" s="69">
        <f t="shared" si="93"/>
        <v>0</v>
      </c>
      <c r="J151" s="24"/>
      <c r="L151" s="24"/>
      <c r="M151" s="106">
        <f t="shared" si="94"/>
        <v>12</v>
      </c>
      <c r="X151">
        <f>VLOOKUP(M151,Tables!$A$247:$E$250,2)</f>
        <v>3</v>
      </c>
      <c r="Y151" t="str">
        <f>VLOOKUP(M151,Tables!$A$247:$E$250,3)</f>
        <v>Launch Solution</v>
      </c>
      <c r="Z151">
        <f>VLOOKUP($F151,Tables!$B$247:$E$250,3)</f>
        <v>0</v>
      </c>
      <c r="AA151">
        <f>VLOOKUP($F151,Tables!$B$247:$E$250,4)</f>
        <v>0</v>
      </c>
    </row>
    <row r="152" spans="1:27">
      <c r="A152" t="str">
        <f t="shared" si="91"/>
        <v>Point Defence/0</v>
      </c>
      <c r="B152" s="150">
        <f>Z152</f>
        <v>0</v>
      </c>
      <c r="C152" s="44"/>
      <c r="D152" s="14">
        <f xml:space="preserve"> MAX( 1*(Military&gt;0)*(Hull&gt;=200), 9*(Military&gt;0)*(Hull&gt;=1000) )</f>
        <v>0</v>
      </c>
      <c r="E152" s="37"/>
      <c r="F152" s="24">
        <f t="shared" si="92"/>
        <v>0</v>
      </c>
      <c r="G152" s="24">
        <f>1*(D152&gt;0)</f>
        <v>0</v>
      </c>
      <c r="H152" s="24"/>
      <c r="I152" s="69">
        <f t="shared" si="93"/>
        <v>0</v>
      </c>
      <c r="J152" s="24"/>
      <c r="L152" s="24"/>
      <c r="M152" s="106">
        <f t="shared" si="94"/>
        <v>12</v>
      </c>
      <c r="X152">
        <f>VLOOKUP(M152,Tables!$A$252:$E$254,2)</f>
        <v>2</v>
      </c>
      <c r="Y152" t="str">
        <f>VLOOKUP(M152,Tables!$A$252:$E$254,3)</f>
        <v>Point Defence</v>
      </c>
      <c r="Z152">
        <f>VLOOKUP($F152,Tables!$B$252:$E$254,3)</f>
        <v>0</v>
      </c>
      <c r="AA152">
        <f>VLOOKUP($F152,Tables!$B$252:$E$254,4)</f>
        <v>0</v>
      </c>
    </row>
    <row r="153" spans="1:27">
      <c r="A153" t="str">
        <f t="shared" si="91"/>
        <v>Electronic Warfare/0</v>
      </c>
      <c r="B153" s="150">
        <f t="shared" si="95"/>
        <v>0</v>
      </c>
      <c r="C153" s="44"/>
      <c r="D153" s="14">
        <f xml:space="preserve"> 9*(Military&gt;0)*(Hull&gt;=5000)</f>
        <v>0</v>
      </c>
      <c r="E153" s="37"/>
      <c r="F153" s="24">
        <f t="shared" si="92"/>
        <v>0</v>
      </c>
      <c r="G153" s="24">
        <f t="shared" si="96"/>
        <v>0</v>
      </c>
      <c r="H153" s="24"/>
      <c r="I153" s="69">
        <f t="shared" si="93"/>
        <v>0</v>
      </c>
      <c r="J153" s="24"/>
      <c r="L153" s="24"/>
      <c r="M153" s="106">
        <f t="shared" si="94"/>
        <v>12</v>
      </c>
      <c r="X153">
        <f>VLOOKUP(M153,Tables!$A$242:$E$245,2)</f>
        <v>1</v>
      </c>
      <c r="Y153" t="str">
        <f>VLOOKUP(M153,Tables!$A$242:$E$245,3)</f>
        <v>Electronic Warfare</v>
      </c>
      <c r="Z153">
        <f>VLOOKUP($F153,Tables!$B$242:$E$245,3)</f>
        <v>0</v>
      </c>
      <c r="AA153">
        <f>VLOOKUP($F153,Tables!$B$242:$E$245,4)</f>
        <v>0</v>
      </c>
    </row>
    <row r="154" spans="1:27">
      <c r="A154" t="str">
        <f t="shared" si="91"/>
        <v/>
      </c>
      <c r="B154" s="150">
        <f>Z154</f>
        <v>0</v>
      </c>
      <c r="C154" s="44"/>
      <c r="D154" s="33">
        <f xml:space="preserve"> 9*(Military&gt;0)*(Hull&gt;=5000)</f>
        <v>0</v>
      </c>
      <c r="E154" s="37"/>
      <c r="F154" s="24">
        <f t="shared" si="92"/>
        <v>0</v>
      </c>
      <c r="G154" s="24">
        <f>1*(D154&gt;0)</f>
        <v>0</v>
      </c>
      <c r="H154" s="24"/>
      <c r="I154" s="69">
        <f t="shared" si="93"/>
        <v>0</v>
      </c>
      <c r="J154" s="24"/>
      <c r="L154" s="24"/>
      <c r="M154" s="106">
        <f t="shared" si="94"/>
        <v>12</v>
      </c>
      <c r="X154">
        <f>VLOOKUP(M154,Tables!$A$239:$E$240,2)</f>
        <v>0</v>
      </c>
      <c r="Y154" t="str">
        <f>VLOOKUP(M154,Tables!$A$239:$E$240,3)</f>
        <v/>
      </c>
      <c r="Z154">
        <f>VLOOKUP($F154,Tables!$B$239:$E$240,3)</f>
        <v>0</v>
      </c>
      <c r="AA154">
        <f>VLOOKUP($F154,Tables!$B$239:$E$240,4)</f>
        <v>0</v>
      </c>
    </row>
    <row r="155" spans="1:27">
      <c r="A155" t="str">
        <f t="shared" si="91"/>
        <v>Screen Optimiser/0</v>
      </c>
      <c r="B155" s="150">
        <f t="shared" ref="B155:B160" si="97">Z155</f>
        <v>0</v>
      </c>
      <c r="C155" s="44"/>
      <c r="D155" s="33">
        <f xml:space="preserve"> 9*(Military&gt;0)*(Hull&gt;=5000)</f>
        <v>0</v>
      </c>
      <c r="E155" s="37"/>
      <c r="F155" s="24">
        <f t="shared" si="92"/>
        <v>0</v>
      </c>
      <c r="G155" s="24">
        <f t="shared" ref="G155:G160" si="98">1*(D155&gt;0)</f>
        <v>0</v>
      </c>
      <c r="H155" s="24"/>
      <c r="I155" s="69">
        <f t="shared" si="93"/>
        <v>0</v>
      </c>
      <c r="J155" s="24"/>
      <c r="L155" s="24"/>
      <c r="M155" s="106">
        <f t="shared" si="94"/>
        <v>12</v>
      </c>
      <c r="X155">
        <f>VLOOKUP(M155,Tables!$A$256:$E$257,2)</f>
        <v>1</v>
      </c>
      <c r="Y155" t="str">
        <f>VLOOKUP(M155,Tables!$A$256:$E$257,3)</f>
        <v>Screen Optimiser</v>
      </c>
      <c r="Z155">
        <f>VLOOKUP($F155,Tables!$B$256:$E$257,3)</f>
        <v>0</v>
      </c>
      <c r="AA155">
        <f>VLOOKUP($F155,Tables!$B$256:$E$257,4)</f>
        <v>0</v>
      </c>
    </row>
    <row r="156" spans="1:27">
      <c r="A156" t="str">
        <f t="shared" si="91"/>
        <v>Battle System/0</v>
      </c>
      <c r="B156" s="150">
        <f t="shared" si="97"/>
        <v>0</v>
      </c>
      <c r="C156" s="44"/>
      <c r="D156" s="33">
        <f xml:space="preserve"> 9*(Military&gt;0)*(Hull&gt;=5000)</f>
        <v>0</v>
      </c>
      <c r="E156" s="37"/>
      <c r="F156" s="24">
        <f t="shared" si="92"/>
        <v>0</v>
      </c>
      <c r="G156" s="24">
        <f t="shared" si="98"/>
        <v>0</v>
      </c>
      <c r="H156" s="24"/>
      <c r="I156" s="69">
        <f t="shared" si="93"/>
        <v>0</v>
      </c>
      <c r="J156" s="24"/>
      <c r="L156" s="24"/>
      <c r="M156" s="106">
        <f t="shared" si="94"/>
        <v>12</v>
      </c>
      <c r="X156">
        <f>VLOOKUP(M156,Tables!$A$234:$E$237,2)</f>
        <v>2</v>
      </c>
      <c r="Y156" t="str">
        <f>VLOOKUP(M156,Tables!$A$234:$E$237,3)</f>
        <v>Battle System</v>
      </c>
      <c r="Z156">
        <f>VLOOKUP($F156,Tables!$B$234:$E$237,3)</f>
        <v>0</v>
      </c>
      <c r="AA156">
        <f>VLOOKUP($F156,Tables!$B$234:$E$237,4)</f>
        <v>0</v>
      </c>
    </row>
    <row r="157" spans="1:27">
      <c r="A157" t="str">
        <f>IF(X157&gt;0,CONCATENATE(Y157,"/",MAX(0,F157-1)),"")</f>
        <v>Virtual Crew/0</v>
      </c>
      <c r="B157" s="150">
        <f t="shared" si="97"/>
        <v>0</v>
      </c>
      <c r="C157" s="44"/>
      <c r="D157" s="33">
        <f xml:space="preserve"> MAX( 1*(Hull&gt;200), 9*(LargeShip&gt;0), 9*(Military&gt;0)*(Hull&gt;=5000) )</f>
        <v>0</v>
      </c>
      <c r="E157" s="37"/>
      <c r="F157" s="24">
        <f t="shared" si="92"/>
        <v>0</v>
      </c>
      <c r="G157" s="24">
        <f t="shared" si="98"/>
        <v>0</v>
      </c>
      <c r="H157" s="24"/>
      <c r="I157" s="69">
        <f t="shared" si="93"/>
        <v>0</v>
      </c>
      <c r="J157" s="24"/>
      <c r="L157" s="24"/>
      <c r="M157" s="106">
        <f t="shared" si="94"/>
        <v>12</v>
      </c>
      <c r="X157">
        <f>VLOOKUP(M157,Tables!$A$259:$E$262,2)</f>
        <v>1</v>
      </c>
      <c r="Y157" t="str">
        <f>VLOOKUP(M157,Tables!$A$259:$E$262,3)</f>
        <v>Virtual Crew</v>
      </c>
      <c r="Z157">
        <f>VLOOKUP($F157,Tables!$B$259:$E$262,3)</f>
        <v>0</v>
      </c>
      <c r="AA157">
        <f>VLOOKUP($F157,Tables!$B$259:$E$262,4)</f>
        <v>0</v>
      </c>
    </row>
    <row r="158" spans="1:27">
      <c r="A158" t="str">
        <f>IF(X158&gt;0,CONCATENATE(Y158,"/",MAX(0,F158-1)),"")</f>
        <v>Virtual Gunner/0</v>
      </c>
      <c r="B158" s="150">
        <f t="shared" si="97"/>
        <v>0</v>
      </c>
      <c r="C158" s="44"/>
      <c r="D158" s="33">
        <f xml:space="preserve"> 9 * OR( IFERROR(SUM( G94:G105),0)&gt;0, IFERROR(SUM( G105:G115 ),0)&gt;10 )</f>
        <v>0</v>
      </c>
      <c r="E158" s="37"/>
      <c r="F158" s="24">
        <f t="shared" si="92"/>
        <v>0</v>
      </c>
      <c r="G158" s="24">
        <f t="shared" si="98"/>
        <v>0</v>
      </c>
      <c r="H158" s="24"/>
      <c r="I158" s="69">
        <f t="shared" si="93"/>
        <v>0</v>
      </c>
      <c r="J158" s="24"/>
      <c r="L158" s="24"/>
      <c r="M158" s="106">
        <f t="shared" si="94"/>
        <v>12</v>
      </c>
      <c r="X158">
        <f>VLOOKUP(M158,Tables!$A$264:$E$267,2)</f>
        <v>2</v>
      </c>
      <c r="Y158" t="str">
        <f>VLOOKUP(M158,Tables!$A$264:$E$267,3)</f>
        <v>Virtual Gunner</v>
      </c>
      <c r="Z158">
        <f>VLOOKUP($F158,Tables!$B$264:$E$267,3)</f>
        <v>0</v>
      </c>
      <c r="AA158">
        <f>VLOOKUP($F158,Tables!$B$264:$E$267,4)</f>
        <v>0</v>
      </c>
    </row>
    <row r="159" spans="1:27">
      <c r="A159" t="str">
        <f>IF(X159&gt;0,CONCATENATE(Y159,"/",F159),"")</f>
        <v>Anti-Hijack/0</v>
      </c>
      <c r="B159" s="150">
        <f t="shared" si="97"/>
        <v>0</v>
      </c>
      <c r="C159" s="44"/>
      <c r="D159" s="33">
        <f xml:space="preserve"> MAX( 9*(B4&gt;100), 9*(Hull&gt;=5000) )</f>
        <v>0</v>
      </c>
      <c r="E159" s="37"/>
      <c r="F159" s="24">
        <f t="shared" si="92"/>
        <v>0</v>
      </c>
      <c r="G159" s="24">
        <f t="shared" si="98"/>
        <v>0</v>
      </c>
      <c r="H159" s="24"/>
      <c r="I159" s="69">
        <f t="shared" si="93"/>
        <v>0</v>
      </c>
      <c r="J159" s="24"/>
      <c r="L159" s="24"/>
      <c r="M159" s="106">
        <f t="shared" si="94"/>
        <v>12</v>
      </c>
      <c r="X159">
        <f>VLOOKUP(M159,Tables!$A$229:$E$232,2)</f>
        <v>2</v>
      </c>
      <c r="Y159" t="str">
        <f>VLOOKUP(M159,Tables!$A$229:$E$232,3)</f>
        <v>Anti-Hijack</v>
      </c>
      <c r="Z159">
        <f>VLOOKUP($F159,Tables!$B$229:$E$232,3)</f>
        <v>0</v>
      </c>
      <c r="AA159">
        <f>VLOOKUP($F159,Tables!$B$229:$E$232,4)</f>
        <v>0</v>
      </c>
    </row>
    <row r="160" spans="1:27">
      <c r="A160" t="str">
        <f>IF(X160&gt;0,CONCATENATE(Y160,"/",F160),"")</f>
        <v>Auto-Repair/0</v>
      </c>
      <c r="B160" s="150">
        <f t="shared" si="97"/>
        <v>0</v>
      </c>
      <c r="C160" s="44"/>
      <c r="D160" s="33">
        <f xml:space="preserve"> (IFERROR(G22,0)&gt;0) * MAX( 1, 9*(Hull&gt;=5000) )</f>
        <v>0</v>
      </c>
      <c r="E160" s="37"/>
      <c r="F160" s="24">
        <f t="shared" si="92"/>
        <v>0</v>
      </c>
      <c r="G160" s="24">
        <f t="shared" si="98"/>
        <v>0</v>
      </c>
      <c r="H160" s="24"/>
      <c r="I160" s="69">
        <f t="shared" si="93"/>
        <v>0</v>
      </c>
      <c r="J160" s="24"/>
      <c r="L160" s="24"/>
      <c r="M160" s="106">
        <f t="shared" si="94"/>
        <v>12</v>
      </c>
      <c r="X160">
        <f>VLOOKUP(M160,Tables!$A$220:$E$222,2)</f>
        <v>2</v>
      </c>
      <c r="Y160" t="str">
        <f>VLOOKUP(M160,Tables!$A$220:$E$222,3)</f>
        <v>Auto-Repair</v>
      </c>
      <c r="Z160">
        <f>VLOOKUP($F160,Tables!$B$220:$E$222,3)</f>
        <v>0</v>
      </c>
      <c r="AA160">
        <f>VLOOKUP($F160,Tables!$B$220:$E$222,4)</f>
        <v>0</v>
      </c>
    </row>
    <row r="161" spans="1:13">
      <c r="H161" s="24"/>
      <c r="I161" s="24"/>
      <c r="J161" s="24"/>
      <c r="L161" s="3"/>
      <c r="M161" s="71"/>
    </row>
    <row r="162" spans="1:13">
      <c r="H162" s="24"/>
      <c r="I162" s="24"/>
      <c r="J162" s="24"/>
      <c r="L162" s="3"/>
      <c r="M162" s="71"/>
    </row>
    <row r="163" spans="1:13">
      <c r="H163" s="24"/>
      <c r="I163" s="24"/>
      <c r="J163" s="24"/>
      <c r="L163" s="3"/>
      <c r="M163" s="71"/>
    </row>
    <row r="164" spans="1:13">
      <c r="G164" s="24"/>
      <c r="H164" s="24"/>
      <c r="I164" s="25" t="s">
        <v>773</v>
      </c>
      <c r="K164" s="3"/>
    </row>
    <row r="165" spans="1:13">
      <c r="A165" s="68" t="s">
        <v>29</v>
      </c>
      <c r="D165" s="145">
        <f>ROUNDUP(SUM(D166:D182),0)</f>
        <v>3</v>
      </c>
      <c r="I165" s="143">
        <f>SUM(I166:I182)</f>
        <v>15000</v>
      </c>
    </row>
    <row r="166" spans="1:13">
      <c r="A166" s="137">
        <f xml:space="preserve"> 1 * (Hull&gt;5000)</f>
        <v>0</v>
      </c>
      <c r="B166" t="s">
        <v>867</v>
      </c>
      <c r="D166" s="146">
        <f>ROUNDDOWN(  SUM(D167:D181)/20*(1+1*(Military&gt;0)) + 1*(Military),0) * (Hull&gt;=100)</f>
        <v>0</v>
      </c>
      <c r="I166" s="144">
        <f>D166*5000</f>
        <v>0</v>
      </c>
    </row>
    <row r="167" spans="1:13">
      <c r="B167" t="s">
        <v>768</v>
      </c>
      <c r="D167" s="146">
        <f>ROUNDUP(SUM(E168:E170),0)</f>
        <v>2</v>
      </c>
      <c r="I167" s="144"/>
    </row>
    <row r="168" spans="1:13">
      <c r="B168" t="s">
        <v>799</v>
      </c>
      <c r="D168" s="146"/>
      <c r="E168">
        <f xml:space="preserve"> ( 1+2*(Military&gt;0)*(Hull&gt;=100) )*(SUM(F40:F41)&gt;0)</f>
        <v>1</v>
      </c>
      <c r="I168" s="144">
        <f>E168*6000</f>
        <v>6000</v>
      </c>
    </row>
    <row r="169" spans="1:13">
      <c r="B169" t="s">
        <v>510</v>
      </c>
      <c r="D169" s="146"/>
      <c r="E169">
        <f>1*(F39&gt;0)</f>
        <v>1</v>
      </c>
      <c r="I169" s="144">
        <f>E169*5000</f>
        <v>5000</v>
      </c>
    </row>
    <row r="170" spans="1:13">
      <c r="B170" t="s">
        <v>860</v>
      </c>
      <c r="D170" s="146"/>
      <c r="E170">
        <f>G2</f>
        <v>0</v>
      </c>
      <c r="I170" s="144">
        <f>E170*3000</f>
        <v>0</v>
      </c>
    </row>
    <row r="171" spans="1:13">
      <c r="B171" t="s">
        <v>245</v>
      </c>
      <c r="D171" s="146">
        <f>ROUNDUP(SUM(E172:E173)/(1+2*(LargeShip&gt;0)),0) * (Hull&gt;=100)</f>
        <v>1</v>
      </c>
      <c r="I171" s="144">
        <f>IF( D171&gt;1, D171*(E172*4000+E173*1000)/(E172+E173), D171*4000 )</f>
        <v>4000</v>
      </c>
    </row>
    <row r="172" spans="1:13">
      <c r="B172" t="s">
        <v>787</v>
      </c>
      <c r="D172" s="146"/>
      <c r="E172" s="54">
        <f>SUM(L39:L44)</f>
        <v>0.42190476190476189</v>
      </c>
      <c r="I172" s="144"/>
    </row>
    <row r="173" spans="1:13">
      <c r="B173" t="s">
        <v>816</v>
      </c>
      <c r="D173" s="146"/>
      <c r="E173" s="54">
        <f>Hull/1000*(1+1*(Military&gt;0)) * (1-0.5*(Station&gt;0))</f>
        <v>0.1</v>
      </c>
      <c r="I173" s="144"/>
    </row>
    <row r="174" spans="1:13">
      <c r="B174" t="s">
        <v>22</v>
      </c>
      <c r="D174" s="146">
        <f xml:space="preserve">  MAX(  0,  1*(E177&gt;=0.1),  ROUNDUP( SUM(E175:E176)/(1+0*2*(LargeShip&gt;0))+E177 - 0.1*(1+1*(Military&gt;0))*(SUM(E175:E177)&lt;0.3),  0  )  )</f>
        <v>0</v>
      </c>
      <c r="I174" s="144">
        <f>D174*2000</f>
        <v>0</v>
      </c>
    </row>
    <row r="175" spans="1:13">
      <c r="B175" t="s">
        <v>772</v>
      </c>
      <c r="D175" s="146"/>
      <c r="E175" s="56">
        <f>Hull/2000*(1+1*OR(Military&gt;0,Station&gt;0)) * (Hull&gt;=100)</f>
        <v>0.05</v>
      </c>
      <c r="I175" s="144"/>
    </row>
    <row r="176" spans="1:13">
      <c r="B176" t="s">
        <v>261</v>
      </c>
      <c r="D176" s="146"/>
      <c r="E176" s="56">
        <f>SUM(D167:D173,E175,E177,D178:D182,D185:D187)/120 * (Hull&gt;=100)</f>
        <v>2.5416666666666664E-2</v>
      </c>
      <c r="I176" s="144"/>
    </row>
    <row r="177" spans="1:26">
      <c r="B177" t="s">
        <v>317</v>
      </c>
      <c r="D177" s="146"/>
      <c r="E177" s="56">
        <f>(D185/10+D186/100)</f>
        <v>0</v>
      </c>
      <c r="I177" s="144"/>
    </row>
    <row r="178" spans="1:26">
      <c r="B178" t="s">
        <v>121</v>
      </c>
      <c r="D178" s="146">
        <f>ROUNDUP(SUM( L27:L33,L65:L67,L80:L83,L138:L144 ),0)</f>
        <v>0</v>
      </c>
      <c r="E178" s="56"/>
      <c r="I178" s="144">
        <f>D178*4000</f>
        <v>0</v>
      </c>
    </row>
    <row r="179" spans="1:26">
      <c r="B179" t="s">
        <v>866</v>
      </c>
      <c r="D179" s="146">
        <f>ROUNDUP(SUM(L95:L132)/(1+2*(LargeShip&gt;0)),0)</f>
        <v>0</v>
      </c>
      <c r="I179" s="144">
        <f>D179*2000</f>
        <v>0</v>
      </c>
    </row>
    <row r="180" spans="1:26">
      <c r="B180" t="s">
        <v>624</v>
      </c>
      <c r="D180" s="146">
        <f xml:space="preserve"> ROUNDUP( SUM(L132:L138), 0 ) * (SUM(L132:L138)&gt;=10) * (Hull&gt;0)</f>
        <v>0</v>
      </c>
      <c r="I180" s="144">
        <f>D180*2000</f>
        <v>0</v>
      </c>
    </row>
    <row r="181" spans="1:26">
      <c r="B181" t="s">
        <v>831</v>
      </c>
      <c r="D181" s="146">
        <f>M2</f>
        <v>0</v>
      </c>
      <c r="I181" s="144">
        <f>D181*1000</f>
        <v>0</v>
      </c>
    </row>
    <row r="184" spans="1:26">
      <c r="A184" s="68" t="s">
        <v>30</v>
      </c>
    </row>
    <row r="185" spans="1:26">
      <c r="B185" t="s">
        <v>246</v>
      </c>
      <c r="D185" s="146">
        <f>E4</f>
        <v>0</v>
      </c>
      <c r="G185" t="s">
        <v>456</v>
      </c>
      <c r="I185" s="146">
        <f>I4</f>
        <v>0</v>
      </c>
    </row>
    <row r="186" spans="1:26">
      <c r="B186" t="s">
        <v>420</v>
      </c>
      <c r="D186" s="146">
        <f>F4</f>
        <v>0</v>
      </c>
      <c r="G186" t="s">
        <v>306</v>
      </c>
      <c r="I186" s="146">
        <f>J4</f>
        <v>0</v>
      </c>
    </row>
    <row r="187" spans="1:26">
      <c r="B187" t="s">
        <v>706</v>
      </c>
      <c r="D187" s="146">
        <f>G4</f>
        <v>0</v>
      </c>
    </row>
    <row r="190" spans="1:26">
      <c r="A190" s="68" t="s">
        <v>31</v>
      </c>
    </row>
    <row r="191" spans="1:26">
      <c r="B191" s="22" t="s">
        <v>151</v>
      </c>
      <c r="G191" s="62" t="s">
        <v>2</v>
      </c>
      <c r="H191" s="63">
        <f xml:space="preserve"> X191 * 20%</f>
        <v>6.1523333333333339</v>
      </c>
      <c r="K191" s="62" t="s">
        <v>303</v>
      </c>
      <c r="L191" s="16">
        <v>0.8</v>
      </c>
      <c r="X191">
        <f xml:space="preserve"> IF( B191=Z191, I7, I6 )</f>
        <v>30.761666666666667</v>
      </c>
      <c r="Y191" t="s">
        <v>42</v>
      </c>
      <c r="Z191" t="s">
        <v>43</v>
      </c>
    </row>
    <row r="193" spans="2:26">
      <c r="B193" s="65" t="s">
        <v>237</v>
      </c>
      <c r="C193" s="65"/>
      <c r="F193" s="61" t="s">
        <v>125</v>
      </c>
      <c r="H193" s="62" t="s">
        <v>697</v>
      </c>
      <c r="J193" s="61" t="s">
        <v>443</v>
      </c>
      <c r="L193" s="62" t="s">
        <v>697</v>
      </c>
      <c r="M193" s="62"/>
    </row>
    <row r="194" spans="2:26">
      <c r="B194" s="66">
        <v>25</v>
      </c>
      <c r="C194" s="66"/>
      <c r="F194" t="s">
        <v>675</v>
      </c>
      <c r="H194" s="54">
        <f xml:space="preserve"> X191/20/B194*1000</f>
        <v>61.523333333333333</v>
      </c>
      <c r="J194" t="s">
        <v>246</v>
      </c>
      <c r="L194" s="54">
        <f>HighPassengers*Z194/1000 * AvgFilledCapacity</f>
        <v>0</v>
      </c>
      <c r="M194" s="74"/>
      <c r="Y194" s="35">
        <f>$F$39</f>
        <v>2</v>
      </c>
      <c r="Z194">
        <f>VLOOKUP(Y194,Tables!$A$570:$F$576,2)</f>
        <v>12000</v>
      </c>
    </row>
    <row r="195" spans="2:26">
      <c r="F195" t="s">
        <v>230</v>
      </c>
      <c r="H195" s="54">
        <f>X191/1000/B194*1000</f>
        <v>1.2304666666666666</v>
      </c>
      <c r="J195" t="s">
        <v>420</v>
      </c>
      <c r="L195" s="54">
        <f>MidPassengers*Z195/1000 * AvgFilledCapacity</f>
        <v>0</v>
      </c>
      <c r="M195" s="74"/>
      <c r="Y195" s="35">
        <f t="shared" ref="Y195:Y197" si="99">$F$39</f>
        <v>2</v>
      </c>
      <c r="Z195">
        <f>VLOOKUP(Y195,Tables!$A$570:$F$576,3)</f>
        <v>9000</v>
      </c>
    </row>
    <row r="196" spans="2:26">
      <c r="B196" s="65" t="s">
        <v>827</v>
      </c>
      <c r="C196" s="65"/>
      <c r="F196" t="s">
        <v>231</v>
      </c>
      <c r="H196" s="54">
        <f>(B50*F39+H52/F52*2) * IF(H53&gt;0,100,500) / 1000</f>
        <v>2.0499999999999998</v>
      </c>
      <c r="J196" t="s">
        <v>232</v>
      </c>
      <c r="L196" s="54">
        <f>LowPassengers*Z196/1000 * AvgFilledCapacity</f>
        <v>0</v>
      </c>
      <c r="M196" s="74"/>
      <c r="Y196" s="35">
        <f t="shared" si="99"/>
        <v>2</v>
      </c>
      <c r="Z196">
        <f>VLOOKUP(Y196,Tables!$A$570:$F$576,5)</f>
        <v>1300</v>
      </c>
    </row>
    <row r="197" spans="2:26">
      <c r="B197" s="66">
        <v>12</v>
      </c>
      <c r="C197" s="66"/>
      <c r="F197" t="s">
        <v>187</v>
      </c>
      <c r="H197" s="74">
        <f xml:space="preserve"> (N80/ 1000 - (HighPassengers+MidPassengers)*1*(1-AvgFilledCapacity) ) * B197 / B194</f>
        <v>2.88</v>
      </c>
      <c r="J197" t="s">
        <v>193</v>
      </c>
      <c r="L197" s="54">
        <f xml:space="preserve"> INT((H87+G88)/5)*5 * Z197/1000 * AvgFilledCapacity</f>
        <v>38.400000000000006</v>
      </c>
      <c r="M197" s="74"/>
      <c r="Y197" s="35">
        <f t="shared" si="99"/>
        <v>2</v>
      </c>
      <c r="Z197">
        <f>VLOOKUP(Y197,Tables!$A$570:$F$576,6)</f>
        <v>1600</v>
      </c>
    </row>
    <row r="198" spans="2:26">
      <c r="F198" t="s">
        <v>571</v>
      </c>
      <c r="H198" s="54">
        <f xml:space="preserve"> I165*B197/B194/1000 * ((B200+1)*50%)</f>
        <v>10.8</v>
      </c>
      <c r="L198" s="54"/>
      <c r="M198" s="74"/>
    </row>
    <row r="199" spans="2:26">
      <c r="B199" s="65" t="s">
        <v>53</v>
      </c>
      <c r="F199" t="s">
        <v>570</v>
      </c>
      <c r="H199" s="54">
        <f>3.5*500/1000</f>
        <v>1.75</v>
      </c>
    </row>
    <row r="200" spans="2:26">
      <c r="B200" s="66">
        <v>2</v>
      </c>
      <c r="H200" s="54"/>
    </row>
    <row r="201" spans="2:26">
      <c r="H201" s="63">
        <f>SUM(H194:H200)</f>
        <v>80.233799999999988</v>
      </c>
      <c r="L201" s="63">
        <f>SUM(L194:L200)</f>
        <v>38.400000000000006</v>
      </c>
      <c r="M201" s="63"/>
    </row>
    <row r="202" spans="2:26">
      <c r="H202" s="63"/>
      <c r="L202" s="63"/>
      <c r="M202" s="63"/>
    </row>
    <row r="203" spans="2:26">
      <c r="H203" s="62" t="s">
        <v>133</v>
      </c>
      <c r="I203" s="78">
        <f>L201-H201</f>
        <v>-41.833799999999982</v>
      </c>
    </row>
    <row r="204" spans="2:26">
      <c r="H204" s="62" t="s">
        <v>517</v>
      </c>
      <c r="I204" s="78">
        <f>I203*B194/1000</f>
        <v>-1.0458449999999995</v>
      </c>
    </row>
    <row r="205" spans="2:26">
      <c r="H205" s="76" t="s">
        <v>559</v>
      </c>
      <c r="I205" s="77">
        <f xml:space="preserve"> I204 / H191</f>
        <v>-0.16999160210218336</v>
      </c>
    </row>
    <row r="218" spans="26:26">
      <c r="Z218" s="55"/>
    </row>
  </sheetData>
  <sheetCalcPr fullCalcOnLoad="1"/>
  <phoneticPr fontId="10" type="noConversion"/>
  <conditionalFormatting sqref="I205">
    <cfRule type="cellIs" dxfId="1" priority="0" stopIfTrue="1" operator="greaterThan">
      <formula>0.05</formula>
    </cfRule>
  </conditionalFormatting>
  <conditionalFormatting sqref="M5 M9 M15:M160">
    <cfRule type="cellIs" dxfId="0" priority="0" stopIfTrue="1" operator="greaterThan">
      <formula>TL</formula>
    </cfRule>
  </conditionalFormatting>
  <dataValidations count="37">
    <dataValidation type="list" allowBlank="1" showInputMessage="1" showErrorMessage="1" sqref="B95">
      <formula1>ValidSpinal</formula1>
    </dataValidation>
    <dataValidation type="list" allowBlank="1" showInputMessage="1" showErrorMessage="1" sqref="A103:A104">
      <formula1>ValidSmallBay</formula1>
    </dataValidation>
    <dataValidation type="list" allowBlank="1" showInputMessage="1" showErrorMessage="1" sqref="A106:A107">
      <formula1>ValidBarbettes</formula1>
    </dataValidation>
    <dataValidation type="list" allowBlank="1" showInputMessage="1" showErrorMessage="1" sqref="A109:A110 A112:A114 A116:A117">
      <formula1>ValidTurrets</formula1>
    </dataValidation>
    <dataValidation type="list" allowBlank="1" showInputMessage="1" showErrorMessage="1" sqref="A130:A131">
      <formula1>ValidScreens</formula1>
    </dataValidation>
    <dataValidation type="list" allowBlank="1" showInputMessage="1" showErrorMessage="1" sqref="A97:A98">
      <formula1>ValidLargeBay</formula1>
    </dataValidation>
    <dataValidation type="list" allowBlank="1" showInputMessage="1" showErrorMessage="1" sqref="A100:A101">
      <formula1>ValidMediumBay</formula1>
    </dataValidation>
    <dataValidation type="list" allowBlank="1" showInputMessage="1" showErrorMessage="1" sqref="E47">
      <formula1>$AA$47:$AC$47</formula1>
    </dataValidation>
    <dataValidation type="list" allowBlank="1" showInputMessage="1" showErrorMessage="1" sqref="B12">
      <formula1>$Y$12:$Z$12</formula1>
    </dataValidation>
    <dataValidation type="list" allowBlank="1" showInputMessage="1" showErrorMessage="1" sqref="A133:A134">
      <formula1>ValidHangars</formula1>
    </dataValidation>
    <dataValidation type="list" allowBlank="1" showInputMessage="1" showErrorMessage="1" sqref="A81:A83">
      <formula1>ValidFacilities</formula1>
    </dataValidation>
    <dataValidation type="list" allowBlank="1" showInputMessage="1" showErrorMessage="1" sqref="A18:A20">
      <formula1>ValidHullOptions</formula1>
    </dataValidation>
    <dataValidation type="list" allowBlank="1" showInputMessage="1" showErrorMessage="1" sqref="B133:B136">
      <formula1>ValidCraft</formula1>
    </dataValidation>
    <dataValidation type="list" allowBlank="1" showInputMessage="1" showErrorMessage="1" sqref="A66">
      <formula1>ValidSensors</formula1>
    </dataValidation>
    <dataValidation type="list" allowBlank="1" showInputMessage="1" showErrorMessage="1" sqref="A119:A120">
      <formula1>ValidSmallerWpns</formula1>
    </dataValidation>
    <dataValidation type="list" allowBlank="1" showInputMessage="1" showErrorMessage="1" sqref="K39:K41">
      <formula1 xml:space="preserve"> ValidDriveBase</formula1>
    </dataValidation>
    <dataValidation type="list" showInputMessage="1" showErrorMessage="1" sqref="C58:C59">
      <formula1>ValidCompMod</formula1>
    </dataValidation>
    <dataValidation type="list" allowBlank="1" showInputMessage="1" showErrorMessage="1" sqref="P40">
      <formula1>AdvManOnce</formula1>
    </dataValidation>
    <dataValidation type="list" allowBlank="1" showInputMessage="1" showErrorMessage="1" sqref="Q39">
      <formula1>AdvJumpDis</formula1>
    </dataValidation>
    <dataValidation type="list" allowBlank="1" showInputMessage="1" showErrorMessage="1" sqref="O40">
      <formula1>AdvManAdv</formula1>
    </dataValidation>
    <dataValidation type="list" allowBlank="1" showInputMessage="1" showErrorMessage="1" sqref="Q40">
      <formula1>AdvManDis</formula1>
    </dataValidation>
    <dataValidation type="list" allowBlank="1" showInputMessage="1" showErrorMessage="1" sqref="O39">
      <formula1>AdvJumpAdv</formula1>
    </dataValidation>
    <dataValidation type="list" allowBlank="1" showInputMessage="1" showErrorMessage="1" sqref="P39">
      <formula1>AdvJumpOnce</formula1>
    </dataValidation>
    <dataValidation type="list" allowBlank="1" showInputMessage="1" showErrorMessage="1" sqref="O41">
      <formula1>AdvReacAdv</formula1>
    </dataValidation>
    <dataValidation type="list" allowBlank="1" showInputMessage="1" showErrorMessage="1" sqref="P41">
      <formula1>AdvReacOnce</formula1>
    </dataValidation>
    <dataValidation type="list" allowBlank="1" showInputMessage="1" showErrorMessage="1" sqref="Q41">
      <formula1>AdvReacDis</formula1>
    </dataValidation>
    <dataValidation type="list" allowBlank="1" showInputMessage="1" showErrorMessage="1" sqref="O42">
      <formula1>AdvPPAdv</formula1>
    </dataValidation>
    <dataValidation type="list" allowBlank="1" showInputMessage="1" showErrorMessage="1" sqref="P42">
      <formula1>AdvPPOnce</formula1>
    </dataValidation>
    <dataValidation type="list" allowBlank="1" showInputMessage="1" showErrorMessage="1" sqref="Q42">
      <formula1>AdvPPDis</formula1>
    </dataValidation>
    <dataValidation type="list" allowBlank="1" showInputMessage="1" showErrorMessage="1" sqref="B191">
      <formula1>$Y$191:$Z$191</formula1>
    </dataValidation>
    <dataValidation type="list" showInputMessage="1" showErrorMessage="1" sqref="B15">
      <formula1>$AI15:$AL15</formula1>
    </dataValidation>
    <dataValidation type="list" allowBlank="1" showInputMessage="1" showErrorMessage="1" sqref="B13">
      <formula1>Configs</formula1>
    </dataValidation>
    <dataValidation type="list" allowBlank="1" showInputMessage="1" showErrorMessage="1" sqref="B14">
      <formula1>HullStrengths</formula1>
    </dataValidation>
    <dataValidation type="list" allowBlank="1" showInputMessage="1" showErrorMessage="1" sqref="B72">
      <formula1>$AA$72:$AB$72</formula1>
    </dataValidation>
    <dataValidation type="list" allowBlank="1" showInputMessage="1" showErrorMessage="1" sqref="A71">
      <formula1>AltAccomodation</formula1>
    </dataValidation>
    <dataValidation type="list" allowBlank="1" showInputMessage="1" showErrorMessage="1" sqref="A91">
      <formula1>CargoEquipment</formula1>
    </dataValidation>
    <dataValidation type="list" showInputMessage="1" showErrorMessage="1" sqref="A55:A56">
      <formula1>$AG$55:$AO$55</formula1>
    </dataValidation>
  </dataValidations>
  <pageMargins left="0.78740157480314965" right="0.39000000000000007" top="0.79000000000000015" bottom="0.39000000000000007" header="0.39000000000000007" footer="0"/>
  <pageSetup paperSize="10" orientation="portrait" horizontalDpi="4294967292" verticalDpi="4294967292"/>
  <headerFooter>
    <oddHeader>&amp;C&amp;"Verdana,Fet"&amp;F&amp;RSida &amp;P (&amp;N)</oddHeader>
  </headerFooter>
  <ignoredErrors>
    <ignoredError sqref="X70 B4" formulaRange="1"/>
  </ignoredErrors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W576"/>
  <sheetViews>
    <sheetView workbookViewId="0"/>
  </sheetViews>
  <sheetFormatPr baseColWidth="10" defaultRowHeight="13"/>
  <sheetData>
    <row r="1" spans="1:4">
      <c r="A1" s="76" t="s">
        <v>250</v>
      </c>
      <c r="B1" s="76" t="s">
        <v>410</v>
      </c>
      <c r="C1" s="76" t="s">
        <v>250</v>
      </c>
      <c r="D1" s="76" t="s">
        <v>573</v>
      </c>
    </row>
    <row r="2" spans="1:4">
      <c r="A2" s="99" t="str">
        <f>""</f>
        <v/>
      </c>
      <c r="B2" s="99">
        <v>0</v>
      </c>
      <c r="C2" s="99" t="str">
        <f>"0"</f>
        <v>0</v>
      </c>
      <c r="D2" s="99" t="s">
        <v>333</v>
      </c>
    </row>
    <row r="3" spans="1:4">
      <c r="A3" s="99" t="str">
        <f>"0"</f>
        <v>0</v>
      </c>
      <c r="B3" s="99">
        <v>0</v>
      </c>
      <c r="C3" s="99" t="str">
        <f>"0"</f>
        <v>0</v>
      </c>
      <c r="D3" s="99" t="s">
        <v>333</v>
      </c>
    </row>
    <row r="4" spans="1:4">
      <c r="A4" s="99" t="str">
        <f>"1"</f>
        <v>1</v>
      </c>
      <c r="B4" s="99">
        <v>1</v>
      </c>
      <c r="C4" s="99" t="str">
        <f>"1"</f>
        <v>1</v>
      </c>
      <c r="D4" s="99" t="s">
        <v>338</v>
      </c>
    </row>
    <row r="5" spans="1:4">
      <c r="A5" s="99" t="str">
        <f>"2"</f>
        <v>2</v>
      </c>
      <c r="B5" s="99">
        <v>2</v>
      </c>
      <c r="C5" s="99" t="str">
        <f>"2"</f>
        <v>2</v>
      </c>
      <c r="D5" s="99" t="s">
        <v>606</v>
      </c>
    </row>
    <row r="6" spans="1:4">
      <c r="A6" s="99" t="str">
        <f>"3"</f>
        <v>3</v>
      </c>
      <c r="B6" s="99">
        <v>3</v>
      </c>
      <c r="C6" s="99" t="str">
        <f>"3"</f>
        <v>3</v>
      </c>
      <c r="D6" s="99" t="s">
        <v>607</v>
      </c>
    </row>
    <row r="7" spans="1:4">
      <c r="A7" s="99" t="str">
        <f>"4"</f>
        <v>4</v>
      </c>
      <c r="B7" s="99">
        <v>4</v>
      </c>
      <c r="C7" s="99" t="str">
        <f>"4"</f>
        <v>4</v>
      </c>
      <c r="D7" s="99" t="s">
        <v>802</v>
      </c>
    </row>
    <row r="8" spans="1:4">
      <c r="A8" s="99" t="str">
        <f>"5"</f>
        <v>5</v>
      </c>
      <c r="B8" s="99">
        <v>5</v>
      </c>
      <c r="C8" s="99" t="str">
        <f>"5"</f>
        <v>5</v>
      </c>
      <c r="D8" s="99" t="s">
        <v>249</v>
      </c>
    </row>
    <row r="9" spans="1:4">
      <c r="A9" s="99" t="str">
        <f>"6"</f>
        <v>6</v>
      </c>
      <c r="B9" s="99">
        <v>6</v>
      </c>
      <c r="C9" s="99" t="str">
        <f>"6"</f>
        <v>6</v>
      </c>
      <c r="D9" s="99" t="s">
        <v>234</v>
      </c>
    </row>
    <row r="10" spans="1:4">
      <c r="A10" s="99" t="str">
        <f>"7"</f>
        <v>7</v>
      </c>
      <c r="B10" s="99">
        <v>7</v>
      </c>
      <c r="C10" s="99" t="str">
        <f>"7"</f>
        <v>7</v>
      </c>
      <c r="D10" s="99" t="s">
        <v>235</v>
      </c>
    </row>
    <row r="11" spans="1:4">
      <c r="A11" s="99" t="str">
        <f>"8"</f>
        <v>8</v>
      </c>
      <c r="B11" s="99">
        <v>8</v>
      </c>
      <c r="C11" s="99" t="str">
        <f>"8"</f>
        <v>8</v>
      </c>
      <c r="D11" s="99" t="s">
        <v>692</v>
      </c>
    </row>
    <row r="12" spans="1:4">
      <c r="A12" s="99" t="str">
        <f>"9"</f>
        <v>9</v>
      </c>
      <c r="B12" s="99">
        <v>9</v>
      </c>
      <c r="C12" s="99" t="str">
        <f>"9"</f>
        <v>9</v>
      </c>
      <c r="D12" s="99" t="s">
        <v>331</v>
      </c>
    </row>
    <row r="13" spans="1:4">
      <c r="A13" s="99" t="s">
        <v>473</v>
      </c>
      <c r="B13" s="99">
        <v>10</v>
      </c>
      <c r="C13" s="99" t="s">
        <v>473</v>
      </c>
      <c r="D13" s="99" t="s">
        <v>430</v>
      </c>
    </row>
    <row r="14" spans="1:4">
      <c r="A14" s="99" t="s">
        <v>524</v>
      </c>
      <c r="B14" s="99">
        <v>11</v>
      </c>
      <c r="C14" s="99" t="s">
        <v>524</v>
      </c>
      <c r="D14" s="99" t="s">
        <v>525</v>
      </c>
    </row>
    <row r="15" spans="1:4">
      <c r="A15" s="99" t="s">
        <v>370</v>
      </c>
      <c r="B15" s="99">
        <v>12</v>
      </c>
      <c r="C15" s="99" t="s">
        <v>370</v>
      </c>
      <c r="D15" s="99" t="s">
        <v>371</v>
      </c>
    </row>
    <row r="16" spans="1:4">
      <c r="A16" s="99" t="s">
        <v>414</v>
      </c>
      <c r="B16" s="99">
        <v>13</v>
      </c>
      <c r="C16" s="99" t="s">
        <v>414</v>
      </c>
      <c r="D16" s="99">
        <v>13</v>
      </c>
    </row>
    <row r="17" spans="1:4">
      <c r="A17" s="99" t="s">
        <v>415</v>
      </c>
      <c r="B17" s="99">
        <v>14</v>
      </c>
      <c r="C17" s="99" t="s">
        <v>415</v>
      </c>
      <c r="D17" s="99">
        <v>14</v>
      </c>
    </row>
    <row r="18" spans="1:4">
      <c r="A18" s="99" t="s">
        <v>503</v>
      </c>
      <c r="B18" s="99">
        <v>15</v>
      </c>
      <c r="C18" s="99" t="s">
        <v>503</v>
      </c>
      <c r="D18" s="99">
        <v>15</v>
      </c>
    </row>
    <row r="19" spans="1:4">
      <c r="A19" s="99" t="s">
        <v>533</v>
      </c>
      <c r="B19" s="99">
        <v>16</v>
      </c>
      <c r="C19" s="99" t="s">
        <v>533</v>
      </c>
      <c r="D19" s="99">
        <v>16</v>
      </c>
    </row>
    <row r="20" spans="1:4">
      <c r="A20" s="99" t="s">
        <v>534</v>
      </c>
      <c r="B20" s="99">
        <v>17</v>
      </c>
      <c r="C20" s="99" t="s">
        <v>534</v>
      </c>
      <c r="D20" s="99">
        <v>17</v>
      </c>
    </row>
    <row r="21" spans="1:4">
      <c r="A21" s="99" t="s">
        <v>535</v>
      </c>
      <c r="B21" s="99">
        <v>18</v>
      </c>
      <c r="C21" s="99" t="s">
        <v>535</v>
      </c>
      <c r="D21" s="99">
        <v>18</v>
      </c>
    </row>
    <row r="22" spans="1:4">
      <c r="A22" s="99" t="s">
        <v>873</v>
      </c>
      <c r="B22" s="99">
        <v>19</v>
      </c>
      <c r="C22" s="99" t="s">
        <v>873</v>
      </c>
      <c r="D22" s="99">
        <v>19</v>
      </c>
    </row>
    <row r="23" spans="1:4">
      <c r="A23" s="99" t="s">
        <v>645</v>
      </c>
      <c r="B23" s="99">
        <v>20</v>
      </c>
      <c r="C23" s="99" t="s">
        <v>645</v>
      </c>
      <c r="D23" s="99">
        <v>20</v>
      </c>
    </row>
    <row r="24" spans="1:4">
      <c r="A24" s="99" t="s">
        <v>646</v>
      </c>
      <c r="B24" s="99">
        <v>21</v>
      </c>
      <c r="C24" s="99" t="s">
        <v>646</v>
      </c>
      <c r="D24" s="99">
        <v>21</v>
      </c>
    </row>
    <row r="25" spans="1:4">
      <c r="A25" s="99" t="s">
        <v>617</v>
      </c>
      <c r="B25" s="99">
        <v>22</v>
      </c>
      <c r="C25" s="99" t="s">
        <v>617</v>
      </c>
      <c r="D25" s="99">
        <v>22</v>
      </c>
    </row>
    <row r="26" spans="1:4">
      <c r="A26" s="99" t="s">
        <v>750</v>
      </c>
      <c r="B26" s="99">
        <v>23</v>
      </c>
      <c r="C26" s="99" t="s">
        <v>750</v>
      </c>
      <c r="D26" s="99">
        <v>23</v>
      </c>
    </row>
    <row r="27" spans="1:4">
      <c r="A27" s="99" t="s">
        <v>169</v>
      </c>
      <c r="B27" s="99">
        <v>24</v>
      </c>
      <c r="C27" s="99" t="s">
        <v>169</v>
      </c>
      <c r="D27" s="99">
        <v>24</v>
      </c>
    </row>
    <row r="28" spans="1:4">
      <c r="A28" s="99" t="s">
        <v>170</v>
      </c>
      <c r="B28" s="99">
        <v>25</v>
      </c>
      <c r="C28" s="99" t="s">
        <v>170</v>
      </c>
      <c r="D28" s="99">
        <v>25</v>
      </c>
    </row>
    <row r="29" spans="1:4">
      <c r="A29" s="99" t="s">
        <v>171</v>
      </c>
      <c r="B29" s="99">
        <v>26</v>
      </c>
      <c r="C29" s="99" t="s">
        <v>171</v>
      </c>
      <c r="D29" s="99">
        <v>26</v>
      </c>
    </row>
    <row r="30" spans="1:4">
      <c r="A30" s="99" t="s">
        <v>650</v>
      </c>
      <c r="B30" s="99">
        <v>27</v>
      </c>
      <c r="C30" s="99" t="s">
        <v>650</v>
      </c>
      <c r="D30" s="99">
        <v>27</v>
      </c>
    </row>
    <row r="31" spans="1:4">
      <c r="A31" s="99" t="s">
        <v>603</v>
      </c>
      <c r="B31" s="99">
        <v>28</v>
      </c>
      <c r="C31" s="99" t="s">
        <v>603</v>
      </c>
      <c r="D31" s="99">
        <v>28</v>
      </c>
    </row>
    <row r="32" spans="1:4">
      <c r="A32" s="99" t="s">
        <v>604</v>
      </c>
      <c r="B32" s="99">
        <v>29</v>
      </c>
      <c r="C32" s="99" t="s">
        <v>604</v>
      </c>
      <c r="D32" s="99">
        <v>29</v>
      </c>
    </row>
    <row r="33" spans="1:9">
      <c r="A33" s="99" t="s">
        <v>699</v>
      </c>
      <c r="B33" s="99">
        <v>30</v>
      </c>
      <c r="C33" s="99" t="s">
        <v>699</v>
      </c>
      <c r="D33" s="99">
        <v>30</v>
      </c>
    </row>
    <row r="34" spans="1:9">
      <c r="A34" s="99" t="s">
        <v>356</v>
      </c>
      <c r="B34" s="99">
        <v>31</v>
      </c>
      <c r="C34" s="99" t="s">
        <v>356</v>
      </c>
      <c r="D34" s="99">
        <v>31</v>
      </c>
    </row>
    <row r="35" spans="1:9">
      <c r="A35" s="99" t="s">
        <v>366</v>
      </c>
      <c r="B35" s="99">
        <v>32</v>
      </c>
      <c r="C35" s="99" t="s">
        <v>366</v>
      </c>
      <c r="D35" s="99">
        <v>32</v>
      </c>
    </row>
    <row r="36" spans="1:9">
      <c r="A36" s="99" t="s">
        <v>367</v>
      </c>
      <c r="B36" s="99">
        <v>33</v>
      </c>
      <c r="C36" s="99" t="s">
        <v>367</v>
      </c>
      <c r="D36" s="99">
        <v>33</v>
      </c>
    </row>
    <row r="39" spans="1:9">
      <c r="A39" t="s">
        <v>191</v>
      </c>
      <c r="D39" s="1" t="s">
        <v>479</v>
      </c>
      <c r="E39" s="1" t="s">
        <v>838</v>
      </c>
      <c r="F39" s="1" t="s">
        <v>1</v>
      </c>
      <c r="G39" s="1" t="s">
        <v>361</v>
      </c>
      <c r="H39" s="1" t="s">
        <v>567</v>
      </c>
      <c r="I39" s="1" t="s">
        <v>609</v>
      </c>
    </row>
    <row r="40" spans="1:9">
      <c r="A40">
        <v>1</v>
      </c>
      <c r="B40" t="s">
        <v>46</v>
      </c>
      <c r="C40" t="s">
        <v>505</v>
      </c>
      <c r="D40" s="5">
        <v>0</v>
      </c>
      <c r="F40" s="5">
        <v>0</v>
      </c>
      <c r="H40" s="86">
        <v>1</v>
      </c>
      <c r="I40">
        <f>$A40</f>
        <v>1</v>
      </c>
    </row>
    <row r="41" spans="1:9">
      <c r="A41">
        <v>2</v>
      </c>
      <c r="B41" t="s">
        <v>647</v>
      </c>
      <c r="C41" t="s">
        <v>328</v>
      </c>
      <c r="D41" s="5">
        <v>0</v>
      </c>
      <c r="F41" s="5">
        <v>0.2</v>
      </c>
      <c r="H41" s="86">
        <v>1</v>
      </c>
      <c r="I41">
        <f t="shared" ref="I41:I46" si="0">$A41</f>
        <v>2</v>
      </c>
    </row>
    <row r="42" spans="1:9">
      <c r="A42">
        <v>3</v>
      </c>
      <c r="B42" t="s">
        <v>746</v>
      </c>
      <c r="C42" t="s">
        <v>747</v>
      </c>
      <c r="D42" s="5">
        <v>0</v>
      </c>
      <c r="F42" s="5">
        <v>-0.2</v>
      </c>
      <c r="H42" s="86">
        <v>1</v>
      </c>
      <c r="I42">
        <f t="shared" si="0"/>
        <v>3</v>
      </c>
    </row>
    <row r="43" spans="1:9">
      <c r="A43">
        <v>4</v>
      </c>
      <c r="B43" t="s">
        <v>644</v>
      </c>
      <c r="C43" t="s">
        <v>747</v>
      </c>
      <c r="D43" s="5">
        <v>0.1</v>
      </c>
      <c r="F43" s="5">
        <v>-0.1</v>
      </c>
      <c r="H43" s="86">
        <v>1</v>
      </c>
      <c r="I43">
        <f t="shared" si="0"/>
        <v>4</v>
      </c>
    </row>
    <row r="44" spans="1:9">
      <c r="A44">
        <v>5</v>
      </c>
      <c r="B44" t="s">
        <v>814</v>
      </c>
      <c r="C44" t="s">
        <v>869</v>
      </c>
      <c r="D44" s="5">
        <v>-0.1</v>
      </c>
      <c r="F44" s="5">
        <v>-0.5</v>
      </c>
      <c r="H44" s="86">
        <v>2</v>
      </c>
      <c r="I44">
        <f t="shared" si="0"/>
        <v>5</v>
      </c>
    </row>
    <row r="45" spans="1:9">
      <c r="A45">
        <v>6</v>
      </c>
      <c r="B45" t="s">
        <v>643</v>
      </c>
      <c r="C45" t="s">
        <v>869</v>
      </c>
      <c r="D45" s="5">
        <v>0.25</v>
      </c>
      <c r="E45" s="5">
        <v>0.2</v>
      </c>
      <c r="F45" s="5">
        <v>0</v>
      </c>
      <c r="G45" s="6">
        <v>2</v>
      </c>
      <c r="H45" s="86">
        <v>1</v>
      </c>
      <c r="I45">
        <f t="shared" si="0"/>
        <v>6</v>
      </c>
    </row>
    <row r="46" spans="1:9">
      <c r="A46">
        <v>7</v>
      </c>
      <c r="B46" t="s">
        <v>190</v>
      </c>
      <c r="C46" t="s">
        <v>869</v>
      </c>
      <c r="D46" s="5">
        <v>0.5</v>
      </c>
      <c r="E46" s="5">
        <v>0.35</v>
      </c>
      <c r="F46" s="5">
        <v>0</v>
      </c>
      <c r="G46" s="6">
        <v>4</v>
      </c>
      <c r="H46" s="86">
        <v>1</v>
      </c>
      <c r="I46">
        <f t="shared" si="0"/>
        <v>7</v>
      </c>
    </row>
    <row r="47" spans="1:9">
      <c r="D47" s="26"/>
      <c r="E47" s="26"/>
      <c r="F47" s="26"/>
      <c r="G47" s="29"/>
    </row>
    <row r="49" spans="1:6">
      <c r="A49" t="s">
        <v>307</v>
      </c>
      <c r="C49" s="1" t="s">
        <v>479</v>
      </c>
      <c r="D49" s="1" t="s">
        <v>673</v>
      </c>
      <c r="E49" s="1" t="s">
        <v>609</v>
      </c>
    </row>
    <row r="50" spans="1:6">
      <c r="A50">
        <v>1</v>
      </c>
      <c r="B50" t="s">
        <v>211</v>
      </c>
      <c r="C50" s="26">
        <v>-0.1</v>
      </c>
      <c r="D50" s="26">
        <v>-0.25</v>
      </c>
      <c r="E50">
        <f>$A50</f>
        <v>1</v>
      </c>
    </row>
    <row r="51" spans="1:6">
      <c r="A51">
        <v>2</v>
      </c>
      <c r="B51" t="s">
        <v>536</v>
      </c>
      <c r="C51" s="26">
        <v>0</v>
      </c>
      <c r="D51" s="26">
        <v>0</v>
      </c>
      <c r="E51">
        <f t="shared" ref="E51:E52" si="1">$A51</f>
        <v>2</v>
      </c>
    </row>
    <row r="52" spans="1:6">
      <c r="A52">
        <v>3</v>
      </c>
      <c r="B52" t="s">
        <v>140</v>
      </c>
      <c r="C52" s="26">
        <v>0.1</v>
      </c>
      <c r="D52" s="26">
        <v>0.5</v>
      </c>
      <c r="E52">
        <f t="shared" si="1"/>
        <v>3</v>
      </c>
    </row>
    <row r="55" spans="1:6">
      <c r="A55" t="s">
        <v>264</v>
      </c>
      <c r="C55" s="1" t="s">
        <v>838</v>
      </c>
      <c r="D55" s="1" t="s">
        <v>1</v>
      </c>
      <c r="E55" s="1" t="s">
        <v>204</v>
      </c>
      <c r="F55" s="1" t="s">
        <v>878</v>
      </c>
    </row>
    <row r="56" spans="1:6">
      <c r="A56">
        <v>7</v>
      </c>
      <c r="B56" t="s">
        <v>326</v>
      </c>
      <c r="C56" s="7">
        <v>2.5000000000000001E-2</v>
      </c>
      <c r="D56" s="7">
        <v>2.5000000000000001E-2</v>
      </c>
      <c r="E56">
        <v>9</v>
      </c>
      <c r="F56">
        <v>0</v>
      </c>
    </row>
    <row r="57" spans="1:6">
      <c r="A57">
        <v>10</v>
      </c>
      <c r="B57" t="s">
        <v>215</v>
      </c>
      <c r="C57" s="7">
        <v>1.2500000000000001E-2</v>
      </c>
      <c r="D57" s="5">
        <v>0.05</v>
      </c>
      <c r="E57">
        <v>13</v>
      </c>
      <c r="F57">
        <v>0</v>
      </c>
    </row>
    <row r="58" spans="1:6">
      <c r="A58">
        <v>14</v>
      </c>
      <c r="B58" t="s">
        <v>424</v>
      </c>
      <c r="C58" s="7">
        <v>8.0000000000000002E-3</v>
      </c>
      <c r="D58" s="5">
        <v>0.08</v>
      </c>
      <c r="E58">
        <v>99</v>
      </c>
      <c r="F58">
        <v>0</v>
      </c>
    </row>
    <row r="59" spans="1:6">
      <c r="A59">
        <v>16</v>
      </c>
      <c r="B59" t="s">
        <v>203</v>
      </c>
      <c r="C59" s="7">
        <v>5.0000000000000001E-3</v>
      </c>
      <c r="D59" s="5">
        <v>0.15</v>
      </c>
      <c r="E59">
        <v>99</v>
      </c>
      <c r="F59">
        <v>4</v>
      </c>
    </row>
    <row r="62" spans="1:6">
      <c r="A62" t="s">
        <v>670</v>
      </c>
      <c r="B62" s="1" t="s">
        <v>713</v>
      </c>
      <c r="C62" s="1" t="s">
        <v>838</v>
      </c>
      <c r="D62" s="1" t="s">
        <v>1</v>
      </c>
      <c r="E62" s="1" t="s">
        <v>192</v>
      </c>
      <c r="F62" s="1" t="s">
        <v>708</v>
      </c>
    </row>
    <row r="63" spans="1:6">
      <c r="A63" t="s">
        <v>200</v>
      </c>
      <c r="B63">
        <v>0</v>
      </c>
      <c r="C63" s="1"/>
      <c r="D63" s="1"/>
      <c r="E63" s="1"/>
      <c r="F63" s="1" t="str">
        <f>""</f>
        <v/>
      </c>
    </row>
    <row r="64" spans="1:6">
      <c r="A64" t="s">
        <v>672</v>
      </c>
      <c r="B64">
        <v>10</v>
      </c>
      <c r="D64">
        <v>0.1</v>
      </c>
      <c r="F64" t="s">
        <v>434</v>
      </c>
    </row>
    <row r="65" spans="1:6">
      <c r="A65" t="s">
        <v>601</v>
      </c>
      <c r="B65">
        <v>6</v>
      </c>
      <c r="D65">
        <v>0.1</v>
      </c>
      <c r="F65" s="1" t="str">
        <f>""</f>
        <v/>
      </c>
    </row>
    <row r="66" spans="1:6">
      <c r="A66" t="s">
        <v>806</v>
      </c>
      <c r="B66">
        <v>7</v>
      </c>
      <c r="D66">
        <v>2.5000000000000001E-2</v>
      </c>
      <c r="F66" t="s">
        <v>700</v>
      </c>
    </row>
    <row r="67" spans="1:6">
      <c r="A67" t="s">
        <v>413</v>
      </c>
      <c r="B67">
        <v>8</v>
      </c>
      <c r="C67" s="46">
        <v>0.02</v>
      </c>
      <c r="D67">
        <v>0.04</v>
      </c>
      <c r="F67" t="s">
        <v>320</v>
      </c>
    </row>
    <row r="68" spans="1:6">
      <c r="A68" t="s">
        <v>440</v>
      </c>
      <c r="B68">
        <v>12</v>
      </c>
      <c r="C68" s="9">
        <v>5.0000000000000001E-3</v>
      </c>
      <c r="D68">
        <v>5.0000000000000001E-3</v>
      </c>
      <c r="E68">
        <f>1/100</f>
        <v>0.01</v>
      </c>
      <c r="F68" s="91" t="s">
        <v>701</v>
      </c>
    </row>
    <row r="69" spans="1:6">
      <c r="A69" t="s">
        <v>690</v>
      </c>
      <c r="B69">
        <v>12</v>
      </c>
      <c r="C69" s="9">
        <v>0.01</v>
      </c>
      <c r="D69">
        <v>0.5</v>
      </c>
      <c r="F69" s="91" t="s">
        <v>632</v>
      </c>
    </row>
    <row r="70" spans="1:6">
      <c r="A70" t="s">
        <v>75</v>
      </c>
      <c r="B70">
        <v>16</v>
      </c>
      <c r="C70" s="9">
        <v>0</v>
      </c>
      <c r="D70">
        <v>0.01</v>
      </c>
      <c r="F70" s="91" t="s">
        <v>632</v>
      </c>
    </row>
    <row r="71" spans="1:6">
      <c r="A71" t="s">
        <v>253</v>
      </c>
      <c r="B71">
        <v>10</v>
      </c>
      <c r="D71">
        <v>0.1</v>
      </c>
      <c r="E71">
        <v>0.5</v>
      </c>
      <c r="F71" s="1" t="str">
        <f>""</f>
        <v/>
      </c>
    </row>
    <row r="72" spans="1:6">
      <c r="A72" t="s">
        <v>124</v>
      </c>
      <c r="B72">
        <v>0</v>
      </c>
      <c r="C72" s="46">
        <v>0.05</v>
      </c>
      <c r="D72">
        <v>5.0000000000000001E-3</v>
      </c>
      <c r="F72" t="s">
        <v>154</v>
      </c>
    </row>
    <row r="73" spans="1:6">
      <c r="A73" t="s">
        <v>387</v>
      </c>
      <c r="B73">
        <v>0</v>
      </c>
      <c r="C73" s="86">
        <v>0.01</v>
      </c>
      <c r="D73">
        <v>5.0000000000000002E-5</v>
      </c>
      <c r="F73" t="s">
        <v>388</v>
      </c>
    </row>
    <row r="74" spans="1:6">
      <c r="A74" t="s">
        <v>829</v>
      </c>
      <c r="B74">
        <v>0</v>
      </c>
      <c r="C74" s="46">
        <v>0.02</v>
      </c>
      <c r="D74">
        <v>0.04</v>
      </c>
      <c r="F74" t="s">
        <v>590</v>
      </c>
    </row>
    <row r="77" spans="1:6">
      <c r="A77" t="s">
        <v>583</v>
      </c>
    </row>
    <row r="78" spans="1:6">
      <c r="A78">
        <v>0</v>
      </c>
      <c r="B78">
        <v>0</v>
      </c>
      <c r="C78" t="s">
        <v>394</v>
      </c>
      <c r="D78">
        <v>0</v>
      </c>
    </row>
    <row r="79" spans="1:6">
      <c r="A79">
        <v>0</v>
      </c>
      <c r="B79">
        <v>1</v>
      </c>
      <c r="C79" t="s">
        <v>495</v>
      </c>
      <c r="D79">
        <v>0.1</v>
      </c>
    </row>
    <row r="80" spans="1:6">
      <c r="A80">
        <v>12</v>
      </c>
      <c r="B80">
        <v>2</v>
      </c>
      <c r="C80" t="s">
        <v>89</v>
      </c>
      <c r="D80">
        <v>1</v>
      </c>
    </row>
    <row r="83" spans="1:7">
      <c r="A83" t="s">
        <v>126</v>
      </c>
    </row>
    <row r="84" spans="1:7">
      <c r="A84" t="s">
        <v>450</v>
      </c>
    </row>
    <row r="85" spans="1:7">
      <c r="A85" t="s">
        <v>184</v>
      </c>
    </row>
    <row r="88" spans="1:7">
      <c r="A88" t="s">
        <v>550</v>
      </c>
      <c r="E88" t="s">
        <v>401</v>
      </c>
    </row>
    <row r="89" spans="1:7">
      <c r="A89">
        <v>7</v>
      </c>
      <c r="B89">
        <v>-100</v>
      </c>
      <c r="C89" s="9">
        <v>5.0000000000000001E-3</v>
      </c>
      <c r="E89">
        <v>0</v>
      </c>
      <c r="F89">
        <v>0</v>
      </c>
      <c r="G89" s="5">
        <v>0</v>
      </c>
    </row>
    <row r="90" spans="1:7">
      <c r="A90">
        <v>9</v>
      </c>
      <c r="B90">
        <v>1</v>
      </c>
      <c r="C90" s="5">
        <v>0.01</v>
      </c>
      <c r="E90">
        <v>7</v>
      </c>
      <c r="F90">
        <v>1</v>
      </c>
      <c r="G90" s="5">
        <v>0.02</v>
      </c>
    </row>
    <row r="91" spans="1:7">
      <c r="A91">
        <v>10</v>
      </c>
      <c r="B91">
        <v>2</v>
      </c>
      <c r="C91" s="5">
        <v>0.02</v>
      </c>
      <c r="E91">
        <v>7</v>
      </c>
      <c r="F91">
        <v>2</v>
      </c>
      <c r="G91" s="5">
        <v>0.04</v>
      </c>
    </row>
    <row r="92" spans="1:7">
      <c r="A92">
        <v>10</v>
      </c>
      <c r="B92">
        <v>3</v>
      </c>
      <c r="C92" s="5">
        <v>0.03</v>
      </c>
      <c r="E92">
        <v>7</v>
      </c>
      <c r="F92">
        <v>3</v>
      </c>
      <c r="G92" s="5">
        <v>0.06</v>
      </c>
    </row>
    <row r="93" spans="1:7">
      <c r="A93">
        <v>11</v>
      </c>
      <c r="B93">
        <v>4</v>
      </c>
      <c r="C93" s="5">
        <v>0.04</v>
      </c>
      <c r="E93">
        <v>8</v>
      </c>
      <c r="F93">
        <v>4</v>
      </c>
      <c r="G93" s="5">
        <v>0.08</v>
      </c>
    </row>
    <row r="94" spans="1:7">
      <c r="A94">
        <v>11</v>
      </c>
      <c r="B94">
        <v>5</v>
      </c>
      <c r="C94" s="5">
        <v>0.05</v>
      </c>
      <c r="E94">
        <v>8</v>
      </c>
      <c r="F94">
        <v>5</v>
      </c>
      <c r="G94" s="5">
        <v>0.1</v>
      </c>
    </row>
    <row r="95" spans="1:7">
      <c r="A95">
        <v>12</v>
      </c>
      <c r="B95">
        <v>6</v>
      </c>
      <c r="C95" s="5">
        <v>0.06</v>
      </c>
      <c r="E95">
        <v>8</v>
      </c>
      <c r="F95">
        <v>6</v>
      </c>
      <c r="G95" s="5">
        <v>0.12</v>
      </c>
    </row>
    <row r="96" spans="1:7">
      <c r="A96">
        <v>12</v>
      </c>
      <c r="B96">
        <v>7</v>
      </c>
      <c r="C96" s="5">
        <v>7.0000000000000007E-2</v>
      </c>
      <c r="E96">
        <v>9</v>
      </c>
      <c r="F96">
        <v>7</v>
      </c>
      <c r="G96" s="5">
        <v>0.14000000000000001</v>
      </c>
    </row>
    <row r="97" spans="1:7">
      <c r="A97">
        <v>13</v>
      </c>
      <c r="B97">
        <v>8</v>
      </c>
      <c r="C97" s="5">
        <v>0.08</v>
      </c>
      <c r="E97">
        <v>9</v>
      </c>
      <c r="F97">
        <v>8</v>
      </c>
      <c r="G97" s="5">
        <v>0.16</v>
      </c>
    </row>
    <row r="98" spans="1:7">
      <c r="A98">
        <v>13</v>
      </c>
      <c r="B98">
        <v>9</v>
      </c>
      <c r="C98" s="5">
        <v>0.09</v>
      </c>
      <c r="E98">
        <v>9</v>
      </c>
      <c r="F98">
        <v>9</v>
      </c>
      <c r="G98" s="5">
        <v>0.18</v>
      </c>
    </row>
    <row r="99" spans="1:7">
      <c r="A99">
        <v>16</v>
      </c>
      <c r="B99">
        <v>10</v>
      </c>
      <c r="C99" s="5">
        <v>0.1</v>
      </c>
      <c r="E99">
        <v>10</v>
      </c>
      <c r="F99">
        <v>10</v>
      </c>
      <c r="G99" s="5">
        <v>0.2</v>
      </c>
    </row>
    <row r="100" spans="1:7">
      <c r="A100">
        <v>17</v>
      </c>
      <c r="B100">
        <v>11</v>
      </c>
      <c r="C100" s="5">
        <v>0.11</v>
      </c>
      <c r="E100">
        <v>10</v>
      </c>
      <c r="F100">
        <v>11</v>
      </c>
      <c r="G100" s="5">
        <v>0.22</v>
      </c>
    </row>
    <row r="101" spans="1:7">
      <c r="E101">
        <v>10</v>
      </c>
      <c r="F101">
        <v>12</v>
      </c>
      <c r="G101" s="5">
        <v>0.24</v>
      </c>
    </row>
    <row r="102" spans="1:7">
      <c r="E102">
        <v>11</v>
      </c>
      <c r="F102">
        <v>13</v>
      </c>
      <c r="G102" s="5">
        <v>0.26</v>
      </c>
    </row>
    <row r="103" spans="1:7">
      <c r="E103">
        <v>11</v>
      </c>
      <c r="F103">
        <v>14</v>
      </c>
      <c r="G103" s="5">
        <v>0.28000000000000003</v>
      </c>
    </row>
    <row r="104" spans="1:7">
      <c r="E104">
        <v>11</v>
      </c>
      <c r="F104">
        <v>15</v>
      </c>
      <c r="G104" s="5">
        <v>0.3</v>
      </c>
    </row>
    <row r="105" spans="1:7">
      <c r="E105">
        <v>12</v>
      </c>
      <c r="F105">
        <v>16</v>
      </c>
      <c r="G105" s="5">
        <v>0.32</v>
      </c>
    </row>
    <row r="108" spans="1:7">
      <c r="A108" t="s">
        <v>502</v>
      </c>
    </row>
    <row r="109" spans="1:7">
      <c r="A109">
        <v>0</v>
      </c>
      <c r="B109">
        <v>0</v>
      </c>
      <c r="C109" s="5">
        <v>0</v>
      </c>
    </row>
    <row r="110" spans="1:7">
      <c r="A110">
        <v>9</v>
      </c>
      <c r="B110">
        <v>1</v>
      </c>
      <c r="C110" s="9">
        <v>2.5000000000000001E-2</v>
      </c>
    </row>
    <row r="111" spans="1:7">
      <c r="A111">
        <v>11</v>
      </c>
      <c r="B111">
        <v>2</v>
      </c>
      <c r="C111" s="5">
        <v>0.05</v>
      </c>
    </row>
    <row r="112" spans="1:7">
      <c r="A112">
        <v>12</v>
      </c>
      <c r="B112">
        <v>3</v>
      </c>
      <c r="C112" s="9">
        <v>7.4999999999999997E-2</v>
      </c>
    </row>
    <row r="113" spans="1:23">
      <c r="A113">
        <v>13</v>
      </c>
      <c r="B113">
        <v>4</v>
      </c>
      <c r="C113" s="5">
        <v>0.1</v>
      </c>
    </row>
    <row r="114" spans="1:23">
      <c r="A114">
        <v>14</v>
      </c>
      <c r="B114">
        <v>5</v>
      </c>
      <c r="C114" s="9">
        <v>0.125</v>
      </c>
    </row>
    <row r="115" spans="1:23">
      <c r="A115">
        <v>15</v>
      </c>
      <c r="B115">
        <v>6</v>
      </c>
      <c r="C115" s="5">
        <v>0.15</v>
      </c>
    </row>
    <row r="116" spans="1:23">
      <c r="A116">
        <v>16</v>
      </c>
      <c r="B116">
        <v>7</v>
      </c>
      <c r="C116" s="9">
        <v>0.17499999999999999</v>
      </c>
    </row>
    <row r="117" spans="1:23">
      <c r="A117">
        <v>17</v>
      </c>
      <c r="B117">
        <v>8</v>
      </c>
      <c r="C117" s="5">
        <v>0.2</v>
      </c>
    </row>
    <row r="118" spans="1:23">
      <c r="A118">
        <v>18</v>
      </c>
      <c r="B118">
        <v>9</v>
      </c>
      <c r="C118" s="9">
        <v>0.22500000000000001</v>
      </c>
    </row>
    <row r="121" spans="1:23">
      <c r="A121" t="s">
        <v>504</v>
      </c>
    </row>
    <row r="122" spans="1:23">
      <c r="A122">
        <v>8</v>
      </c>
      <c r="B122">
        <v>0.5</v>
      </c>
      <c r="C122">
        <v>10</v>
      </c>
    </row>
    <row r="123" spans="1:23">
      <c r="A123">
        <v>12</v>
      </c>
      <c r="B123">
        <v>1</v>
      </c>
      <c r="C123">
        <v>15</v>
      </c>
    </row>
    <row r="124" spans="1:23">
      <c r="A124">
        <v>15</v>
      </c>
      <c r="B124">
        <v>2</v>
      </c>
      <c r="C124">
        <v>20</v>
      </c>
    </row>
    <row r="127" spans="1:23">
      <c r="A127" s="68" t="s">
        <v>180</v>
      </c>
      <c r="C127" t="s">
        <v>148</v>
      </c>
      <c r="D127" s="1" t="s">
        <v>104</v>
      </c>
      <c r="E127" s="1" t="s">
        <v>161</v>
      </c>
      <c r="F127" s="1" t="s">
        <v>63</v>
      </c>
      <c r="G127" s="1" t="s">
        <v>15</v>
      </c>
      <c r="H127" s="1" t="s">
        <v>103</v>
      </c>
      <c r="L127" s="68" t="s">
        <v>36</v>
      </c>
      <c r="M127" s="68" t="s">
        <v>37</v>
      </c>
      <c r="N127" s="68" t="s">
        <v>38</v>
      </c>
      <c r="O127" s="68" t="s">
        <v>183</v>
      </c>
      <c r="P127" s="68" t="s">
        <v>47</v>
      </c>
      <c r="Q127" s="68" t="s">
        <v>483</v>
      </c>
      <c r="R127" s="68" t="s">
        <v>652</v>
      </c>
      <c r="S127" s="68" t="s">
        <v>484</v>
      </c>
      <c r="T127" s="68" t="s">
        <v>316</v>
      </c>
      <c r="U127" s="68" t="s">
        <v>322</v>
      </c>
      <c r="V127" s="68" t="s">
        <v>323</v>
      </c>
      <c r="W127" s="68" t="s">
        <v>324</v>
      </c>
    </row>
    <row r="128" spans="1:23">
      <c r="A128" s="68" t="str">
        <f>""</f>
        <v/>
      </c>
      <c r="B128" t="str">
        <f>""</f>
        <v/>
      </c>
      <c r="C128">
        <v>0</v>
      </c>
      <c r="D128" s="1">
        <v>1</v>
      </c>
      <c r="E128" s="1">
        <v>0</v>
      </c>
      <c r="F128" s="1">
        <v>0</v>
      </c>
      <c r="G128" s="1">
        <v>0</v>
      </c>
      <c r="H128" s="1">
        <v>0</v>
      </c>
      <c r="J128" t="s">
        <v>181</v>
      </c>
      <c r="L128" t="str">
        <f>A134</f>
        <v>Reduced Size</v>
      </c>
      <c r="M128" t="str">
        <f t="shared" ref="M128:M133" si="2">A134</f>
        <v>Reduced Size</v>
      </c>
      <c r="N128" t="str">
        <f>A131</f>
        <v>Increased Size</v>
      </c>
      <c r="O128" t="str">
        <f>A134</f>
        <v>Reduced Size</v>
      </c>
      <c r="P128" t="str">
        <f>A134</f>
        <v>Reduced Size</v>
      </c>
      <c r="Q128" t="str">
        <f>A131</f>
        <v>Increased Size</v>
      </c>
      <c r="R128" t="str">
        <f>A140</f>
        <v>Fuel Efficient</v>
      </c>
      <c r="S128" t="str">
        <f>A140</f>
        <v>Fuel Efficient</v>
      </c>
      <c r="T128" t="str">
        <f>A141</f>
        <v>Fuel Inefficient</v>
      </c>
      <c r="U128" t="str">
        <f>A134</f>
        <v>Reduced Size</v>
      </c>
      <c r="V128" t="str">
        <f>A134</f>
        <v>Reduced Size</v>
      </c>
      <c r="W128" t="str">
        <f>A131</f>
        <v>Increased Size</v>
      </c>
    </row>
    <row r="129" spans="1:23">
      <c r="A129" t="s">
        <v>418</v>
      </c>
      <c r="B129" t="s">
        <v>441</v>
      </c>
      <c r="C129">
        <v>-2</v>
      </c>
      <c r="D129">
        <v>0</v>
      </c>
      <c r="E129" s="121">
        <v>0</v>
      </c>
      <c r="F129" s="121">
        <v>0</v>
      </c>
      <c r="G129" s="121">
        <v>0</v>
      </c>
      <c r="H129" s="121">
        <v>0</v>
      </c>
      <c r="J129" t="s">
        <v>239</v>
      </c>
      <c r="L129" t="str">
        <f>A135</f>
        <v>Energy Efficient</v>
      </c>
      <c r="M129" t="str">
        <f t="shared" si="2"/>
        <v>Energy Efficient</v>
      </c>
      <c r="N129" t="str">
        <f>A132</f>
        <v>Energy Inefficient</v>
      </c>
      <c r="O129" t="str">
        <f>A135</f>
        <v>Energy Efficient</v>
      </c>
      <c r="P129" t="str">
        <f>A135</f>
        <v>Energy Efficient</v>
      </c>
      <c r="Q129" t="str">
        <f>A132</f>
        <v>Energy Inefficient</v>
      </c>
      <c r="R129" t="str">
        <f>A134</f>
        <v>Reduced Size</v>
      </c>
      <c r="S129" t="str">
        <f>A134</f>
        <v>Reduced Size</v>
      </c>
      <c r="T129" t="str">
        <f>A131</f>
        <v>Increased Size</v>
      </c>
      <c r="U129" t="str">
        <f>A135</f>
        <v>Energy Efficient</v>
      </c>
      <c r="V129" t="str">
        <f>A135</f>
        <v>Energy Efficient</v>
      </c>
      <c r="W129" t="str">
        <f>A132</f>
        <v>Energy Inefficient</v>
      </c>
    </row>
    <row r="130" spans="1:23">
      <c r="A130" t="s">
        <v>164</v>
      </c>
      <c r="B130" t="s">
        <v>442</v>
      </c>
      <c r="C130">
        <v>-1</v>
      </c>
      <c r="D130">
        <v>0</v>
      </c>
      <c r="E130" s="121">
        <v>0</v>
      </c>
      <c r="F130" s="121">
        <v>0</v>
      </c>
      <c r="G130" s="121">
        <v>0</v>
      </c>
      <c r="H130" s="121">
        <v>0</v>
      </c>
      <c r="J130" t="s">
        <v>240</v>
      </c>
      <c r="L130" t="str">
        <f>A136</f>
        <v>Decreased Fuel</v>
      </c>
      <c r="M130" t="str">
        <f t="shared" si="2"/>
        <v>Decreased Fuel</v>
      </c>
      <c r="N130" t="str">
        <f>A133</f>
        <v>Late Jump</v>
      </c>
      <c r="P130" t="str">
        <f>A128</f>
        <v/>
      </c>
      <c r="S130" t="str">
        <f>A128</f>
        <v/>
      </c>
      <c r="V130" t="str">
        <f>A128</f>
        <v/>
      </c>
    </row>
    <row r="131" spans="1:23">
      <c r="A131" t="s">
        <v>150</v>
      </c>
      <c r="B131" t="s">
        <v>411</v>
      </c>
      <c r="C131">
        <v>-1</v>
      </c>
      <c r="D131">
        <v>1</v>
      </c>
      <c r="E131" s="121">
        <v>0.25</v>
      </c>
      <c r="F131" s="121">
        <v>0</v>
      </c>
      <c r="G131" s="121">
        <v>0</v>
      </c>
      <c r="H131" s="121">
        <v>0</v>
      </c>
      <c r="J131" t="s">
        <v>163</v>
      </c>
      <c r="L131" t="str">
        <f>A137</f>
        <v>Early Jump</v>
      </c>
      <c r="M131" t="str">
        <f t="shared" si="2"/>
        <v>Early Jump</v>
      </c>
      <c r="P131" t="str">
        <f>A131</f>
        <v>Increased Size</v>
      </c>
      <c r="S131" t="str">
        <f>A141</f>
        <v>Fuel Inefficient</v>
      </c>
      <c r="V131" t="str">
        <f>A131</f>
        <v>Increased Size</v>
      </c>
    </row>
    <row r="132" spans="1:23">
      <c r="A132" t="s">
        <v>115</v>
      </c>
      <c r="B132" t="s">
        <v>412</v>
      </c>
      <c r="C132">
        <v>-1</v>
      </c>
      <c r="D132">
        <v>1</v>
      </c>
      <c r="E132" s="121">
        <v>0</v>
      </c>
      <c r="F132" s="121">
        <v>0.3</v>
      </c>
      <c r="G132" s="121">
        <v>-0.25</v>
      </c>
      <c r="H132" s="121">
        <v>0</v>
      </c>
      <c r="J132" t="s">
        <v>163</v>
      </c>
      <c r="M132" t="str">
        <f t="shared" si="2"/>
        <v>Stealth Jump (1adv) *</v>
      </c>
      <c r="P132" t="str">
        <f>A132</f>
        <v>Energy Inefficient</v>
      </c>
      <c r="S132" t="str">
        <f>A131</f>
        <v>Increased Size</v>
      </c>
      <c r="V132" t="str">
        <f>A132</f>
        <v>Energy Inefficient</v>
      </c>
    </row>
    <row r="133" spans="1:23">
      <c r="A133" t="s">
        <v>228</v>
      </c>
      <c r="B133" t="s">
        <v>586</v>
      </c>
      <c r="C133">
        <v>-1</v>
      </c>
      <c r="D133">
        <v>0</v>
      </c>
      <c r="E133" s="121">
        <v>0</v>
      </c>
      <c r="F133" s="121">
        <v>0</v>
      </c>
      <c r="G133" s="121">
        <v>0</v>
      </c>
      <c r="H133" s="121">
        <v>0</v>
      </c>
      <c r="J133" t="s">
        <v>108</v>
      </c>
      <c r="M133" t="str">
        <f t="shared" si="2"/>
        <v>Stealth Jump (2adv) *</v>
      </c>
      <c r="P133" t="str">
        <f>A130</f>
        <v>Limited Range *</v>
      </c>
    </row>
    <row r="134" spans="1:23">
      <c r="A134" t="s">
        <v>360</v>
      </c>
      <c r="B134" t="s">
        <v>587</v>
      </c>
      <c r="C134">
        <v>1</v>
      </c>
      <c r="D134">
        <v>1</v>
      </c>
      <c r="E134" s="121">
        <v>-0.1</v>
      </c>
      <c r="F134" s="121">
        <v>0</v>
      </c>
      <c r="G134" s="121">
        <v>0</v>
      </c>
      <c r="H134" s="121">
        <v>0</v>
      </c>
      <c r="J134" t="s">
        <v>163</v>
      </c>
      <c r="M134" t="str">
        <f>A128</f>
        <v/>
      </c>
      <c r="P134" t="str">
        <f>A129</f>
        <v>Orbital Range (2) *</v>
      </c>
    </row>
    <row r="135" spans="1:23">
      <c r="A135" t="s">
        <v>49</v>
      </c>
      <c r="B135" t="s">
        <v>588</v>
      </c>
      <c r="C135">
        <v>1</v>
      </c>
      <c r="D135">
        <v>1</v>
      </c>
      <c r="E135" s="121">
        <v>0</v>
      </c>
      <c r="F135" s="121">
        <v>-0.25</v>
      </c>
      <c r="G135" s="121">
        <v>0.1</v>
      </c>
      <c r="H135" s="121">
        <v>0</v>
      </c>
      <c r="J135" t="s">
        <v>163</v>
      </c>
      <c r="M135" t="str">
        <f>A131</f>
        <v>Increased Size</v>
      </c>
    </row>
    <row r="136" spans="1:23">
      <c r="A136" t="s">
        <v>349</v>
      </c>
      <c r="B136" t="s">
        <v>584</v>
      </c>
      <c r="C136">
        <v>1</v>
      </c>
      <c r="D136">
        <v>1</v>
      </c>
      <c r="E136" s="121">
        <v>0</v>
      </c>
      <c r="F136" s="121">
        <v>0</v>
      </c>
      <c r="G136" s="121">
        <v>0</v>
      </c>
      <c r="H136" s="121">
        <v>-0.05</v>
      </c>
      <c r="J136" t="s">
        <v>108</v>
      </c>
      <c r="M136" t="str">
        <f>A132</f>
        <v>Energy Inefficient</v>
      </c>
    </row>
    <row r="137" spans="1:23">
      <c r="A137" t="s">
        <v>28</v>
      </c>
      <c r="B137" t="s">
        <v>593</v>
      </c>
      <c r="C137">
        <v>1</v>
      </c>
      <c r="D137">
        <v>0</v>
      </c>
      <c r="E137" s="121">
        <v>0</v>
      </c>
      <c r="F137" s="121">
        <v>0</v>
      </c>
      <c r="G137" s="121">
        <v>0</v>
      </c>
      <c r="H137" s="121">
        <v>0</v>
      </c>
      <c r="J137" t="s">
        <v>108</v>
      </c>
      <c r="M137" t="str">
        <f>A133</f>
        <v>Late Jump</v>
      </c>
    </row>
    <row r="138" spans="1:23">
      <c r="A138" t="s">
        <v>19</v>
      </c>
      <c r="B138" t="s">
        <v>301</v>
      </c>
      <c r="C138">
        <v>1</v>
      </c>
      <c r="D138">
        <v>0</v>
      </c>
      <c r="E138" s="121">
        <v>0</v>
      </c>
      <c r="F138" s="121">
        <v>0</v>
      </c>
      <c r="G138" s="121">
        <v>0</v>
      </c>
      <c r="H138" s="121">
        <v>0</v>
      </c>
      <c r="J138" t="s">
        <v>776</v>
      </c>
    </row>
    <row r="139" spans="1:23">
      <c r="A139" t="s">
        <v>300</v>
      </c>
      <c r="B139" t="s">
        <v>478</v>
      </c>
      <c r="C139">
        <v>2</v>
      </c>
      <c r="D139">
        <v>0</v>
      </c>
      <c r="E139" s="121">
        <v>0</v>
      </c>
      <c r="F139" s="121">
        <v>0</v>
      </c>
      <c r="G139" s="121">
        <v>0</v>
      </c>
      <c r="H139" s="121">
        <v>0</v>
      </c>
      <c r="J139" t="s">
        <v>347</v>
      </c>
    </row>
    <row r="140" spans="1:23">
      <c r="A140" t="s">
        <v>416</v>
      </c>
      <c r="B140" t="s">
        <v>315</v>
      </c>
      <c r="C140">
        <v>1</v>
      </c>
      <c r="D140">
        <v>1</v>
      </c>
      <c r="E140" s="121">
        <v>0</v>
      </c>
      <c r="F140" s="121">
        <v>0</v>
      </c>
      <c r="G140" s="121">
        <v>0</v>
      </c>
      <c r="H140" s="121">
        <v>-0.2</v>
      </c>
      <c r="J140" t="s">
        <v>105</v>
      </c>
    </row>
    <row r="141" spans="1:23">
      <c r="A141" t="s">
        <v>119</v>
      </c>
      <c r="B141" t="s">
        <v>403</v>
      </c>
      <c r="C141">
        <v>1</v>
      </c>
      <c r="D141">
        <v>1</v>
      </c>
      <c r="E141" s="121">
        <v>0</v>
      </c>
      <c r="F141" s="121">
        <v>0</v>
      </c>
      <c r="G141" s="121">
        <v>0</v>
      </c>
      <c r="H141" s="121">
        <v>0.25</v>
      </c>
      <c r="J141" t="s">
        <v>105</v>
      </c>
    </row>
    <row r="144" spans="1:23">
      <c r="A144" t="s">
        <v>566</v>
      </c>
    </row>
    <row r="145" spans="1:15">
      <c r="A145">
        <v>-1</v>
      </c>
      <c r="B145" t="s">
        <v>292</v>
      </c>
    </row>
    <row r="146" spans="1:15">
      <c r="A146">
        <v>0</v>
      </c>
      <c r="B146" t="s">
        <v>27</v>
      </c>
    </row>
    <row r="147" spans="1:15">
      <c r="A147">
        <v>1</v>
      </c>
      <c r="B147" t="s">
        <v>100</v>
      </c>
    </row>
    <row r="150" spans="1:15">
      <c r="A150" t="s">
        <v>334</v>
      </c>
      <c r="D150" t="s">
        <v>423</v>
      </c>
      <c r="G150" t="s">
        <v>631</v>
      </c>
    </row>
    <row r="151" spans="1:15">
      <c r="A151">
        <v>0</v>
      </c>
      <c r="B151">
        <v>3</v>
      </c>
      <c r="D151">
        <v>0</v>
      </c>
      <c r="E151">
        <v>15</v>
      </c>
      <c r="G151">
        <v>0</v>
      </c>
      <c r="H151">
        <v>10</v>
      </c>
    </row>
    <row r="152" spans="1:15">
      <c r="A152">
        <v>51</v>
      </c>
      <c r="B152">
        <v>6</v>
      </c>
      <c r="D152">
        <v>201</v>
      </c>
      <c r="E152">
        <v>30</v>
      </c>
      <c r="G152">
        <v>501</v>
      </c>
      <c r="H152">
        <v>20</v>
      </c>
    </row>
    <row r="153" spans="1:15">
      <c r="A153">
        <v>100</v>
      </c>
      <c r="B153">
        <v>10</v>
      </c>
      <c r="D153">
        <v>1001</v>
      </c>
      <c r="E153">
        <v>50</v>
      </c>
      <c r="G153">
        <v>5001</v>
      </c>
      <c r="H153">
        <v>40</v>
      </c>
    </row>
    <row r="154" spans="1:15">
      <c r="A154">
        <v>201</v>
      </c>
      <c r="B154">
        <v>20</v>
      </c>
      <c r="D154">
        <v>2000</v>
      </c>
      <c r="E154">
        <v>80</v>
      </c>
      <c r="G154">
        <v>20001</v>
      </c>
      <c r="H154">
        <v>60</v>
      </c>
    </row>
    <row r="155" spans="1:15">
      <c r="A155">
        <v>1001</v>
      </c>
      <c r="B155">
        <v>40</v>
      </c>
      <c r="G155">
        <v>100001</v>
      </c>
      <c r="H155">
        <v>80</v>
      </c>
    </row>
    <row r="156" spans="1:15">
      <c r="A156">
        <v>2000</v>
      </c>
      <c r="B156">
        <v>60</v>
      </c>
      <c r="G156">
        <v>2500001</v>
      </c>
      <c r="H156">
        <v>100</v>
      </c>
    </row>
    <row r="159" spans="1:15">
      <c r="A159" s="68" t="s">
        <v>4</v>
      </c>
      <c r="C159" s="1" t="s">
        <v>5</v>
      </c>
      <c r="D159" s="1" t="s">
        <v>6</v>
      </c>
      <c r="E159" s="1" t="s">
        <v>7</v>
      </c>
      <c r="F159" s="1" t="s">
        <v>8</v>
      </c>
      <c r="G159" s="1" t="s">
        <v>9</v>
      </c>
      <c r="H159" s="1" t="s">
        <v>10</v>
      </c>
      <c r="I159">
        <v>0</v>
      </c>
      <c r="J159">
        <v>50.000999999999998</v>
      </c>
      <c r="K159">
        <v>100</v>
      </c>
      <c r="L159">
        <v>200.001</v>
      </c>
      <c r="M159">
        <v>1000.001</v>
      </c>
      <c r="N159">
        <v>2000</v>
      </c>
      <c r="O159">
        <v>5000</v>
      </c>
    </row>
    <row r="160" spans="1:15">
      <c r="A160" t="s">
        <v>889</v>
      </c>
      <c r="C160">
        <v>0</v>
      </c>
      <c r="D160">
        <v>0</v>
      </c>
      <c r="E160">
        <v>0.1</v>
      </c>
      <c r="H160">
        <v>1</v>
      </c>
      <c r="I160">
        <v>-1</v>
      </c>
      <c r="J160">
        <v>-1</v>
      </c>
      <c r="K160">
        <v>-1</v>
      </c>
      <c r="L160">
        <v>-1</v>
      </c>
      <c r="M160">
        <v>-1</v>
      </c>
      <c r="N160">
        <v>-1</v>
      </c>
      <c r="O160">
        <v>-1</v>
      </c>
    </row>
    <row r="161" spans="1:15">
      <c r="A161" t="s">
        <v>890</v>
      </c>
      <c r="C161">
        <v>80</v>
      </c>
      <c r="D161">
        <v>0</v>
      </c>
      <c r="E161">
        <v>0.75</v>
      </c>
      <c r="G161">
        <v>5000</v>
      </c>
      <c r="H161">
        <v>2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80</v>
      </c>
    </row>
    <row r="162" spans="1:15">
      <c r="A162" t="s">
        <v>891</v>
      </c>
      <c r="C162">
        <v>0</v>
      </c>
      <c r="D162">
        <v>0</v>
      </c>
      <c r="E162">
        <v>0.5</v>
      </c>
      <c r="H162">
        <v>3</v>
      </c>
      <c r="I162">
        <v>3</v>
      </c>
      <c r="J162">
        <v>6</v>
      </c>
      <c r="K162">
        <v>10</v>
      </c>
      <c r="L162">
        <v>20</v>
      </c>
      <c r="M162">
        <v>40</v>
      </c>
      <c r="N162">
        <v>60</v>
      </c>
      <c r="O162">
        <v>60</v>
      </c>
    </row>
    <row r="163" spans="1:15">
      <c r="A163" t="s">
        <v>758</v>
      </c>
      <c r="C163">
        <v>0</v>
      </c>
      <c r="D163">
        <v>0</v>
      </c>
      <c r="E163">
        <v>0.8</v>
      </c>
      <c r="H163">
        <v>4</v>
      </c>
      <c r="I163">
        <v>15</v>
      </c>
      <c r="J163">
        <v>15</v>
      </c>
      <c r="K163">
        <v>15</v>
      </c>
      <c r="L163">
        <v>30</v>
      </c>
      <c r="M163">
        <v>50</v>
      </c>
      <c r="N163">
        <v>80</v>
      </c>
      <c r="O163">
        <v>80</v>
      </c>
    </row>
    <row r="164" spans="1:15">
      <c r="A164" t="s">
        <v>759</v>
      </c>
      <c r="C164">
        <v>0</v>
      </c>
      <c r="D164">
        <v>0</v>
      </c>
      <c r="E164">
        <v>0.25</v>
      </c>
      <c r="H164">
        <v>5</v>
      </c>
      <c r="I164">
        <v>3</v>
      </c>
      <c r="J164">
        <v>3</v>
      </c>
      <c r="K164">
        <v>6</v>
      </c>
      <c r="L164">
        <v>10</v>
      </c>
      <c r="M164">
        <v>20</v>
      </c>
      <c r="N164">
        <v>40</v>
      </c>
      <c r="O164">
        <v>40</v>
      </c>
    </row>
    <row r="165" spans="1:15">
      <c r="A165" t="s">
        <v>760</v>
      </c>
      <c r="C165">
        <v>0</v>
      </c>
      <c r="D165">
        <v>0</v>
      </c>
      <c r="E165">
        <v>0.8</v>
      </c>
      <c r="H165">
        <v>6</v>
      </c>
      <c r="I165">
        <v>15</v>
      </c>
      <c r="J165">
        <v>15</v>
      </c>
      <c r="K165">
        <v>15</v>
      </c>
      <c r="L165">
        <v>15</v>
      </c>
      <c r="M165">
        <v>30</v>
      </c>
      <c r="N165">
        <v>50</v>
      </c>
      <c r="O165">
        <v>50</v>
      </c>
    </row>
    <row r="166" spans="1:15">
      <c r="A166" t="s">
        <v>761</v>
      </c>
      <c r="C166">
        <v>0</v>
      </c>
      <c r="D166">
        <v>0</v>
      </c>
      <c r="E166">
        <v>0.25</v>
      </c>
      <c r="H166">
        <v>7</v>
      </c>
      <c r="I166">
        <v>3</v>
      </c>
      <c r="J166">
        <v>3</v>
      </c>
      <c r="K166">
        <v>6</v>
      </c>
      <c r="L166">
        <v>10</v>
      </c>
      <c r="M166">
        <v>20</v>
      </c>
      <c r="N166">
        <v>40</v>
      </c>
      <c r="O166">
        <v>40</v>
      </c>
    </row>
    <row r="167" spans="1:15">
      <c r="A167" t="s">
        <v>762</v>
      </c>
      <c r="C167">
        <v>2.5</v>
      </c>
      <c r="D167">
        <v>1.4999999999999999E-2</v>
      </c>
      <c r="E167">
        <v>0</v>
      </c>
      <c r="F167">
        <v>50</v>
      </c>
      <c r="H167">
        <v>8</v>
      </c>
      <c r="I167">
        <v>2.5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0</v>
      </c>
    </row>
    <row r="168" spans="1:15">
      <c r="A168" t="s">
        <v>763</v>
      </c>
      <c r="C168">
        <v>1.5</v>
      </c>
      <c r="D168">
        <v>0.01</v>
      </c>
      <c r="E168">
        <v>0</v>
      </c>
      <c r="F168">
        <v>50</v>
      </c>
      <c r="H168">
        <v>9</v>
      </c>
      <c r="I168">
        <v>1.5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0</v>
      </c>
    </row>
    <row r="169" spans="1:15">
      <c r="A169" t="s">
        <v>764</v>
      </c>
      <c r="C169">
        <v>1</v>
      </c>
      <c r="D169">
        <v>0.5</v>
      </c>
      <c r="E169">
        <v>0</v>
      </c>
      <c r="H169">
        <v>10</v>
      </c>
      <c r="I169">
        <v>1</v>
      </c>
      <c r="J169">
        <v>1</v>
      </c>
      <c r="K169">
        <v>1</v>
      </c>
      <c r="L169">
        <v>1</v>
      </c>
      <c r="M169">
        <v>1</v>
      </c>
      <c r="N169">
        <v>1</v>
      </c>
      <c r="O169">
        <v>1</v>
      </c>
    </row>
    <row r="173" spans="1:15">
      <c r="A173" s="68" t="s">
        <v>768</v>
      </c>
      <c r="D173" s="68" t="s">
        <v>351</v>
      </c>
    </row>
    <row r="175" spans="1:15">
      <c r="A175" t="s">
        <v>91</v>
      </c>
      <c r="D175" t="s">
        <v>195</v>
      </c>
    </row>
    <row r="178" spans="1:7">
      <c r="A178" t="s">
        <v>202</v>
      </c>
      <c r="E178" t="s">
        <v>304</v>
      </c>
    </row>
    <row r="179" spans="1:7">
      <c r="A179">
        <v>0</v>
      </c>
      <c r="B179">
        <v>0</v>
      </c>
      <c r="C179">
        <v>0</v>
      </c>
      <c r="E179">
        <v>0</v>
      </c>
      <c r="F179">
        <v>0</v>
      </c>
      <c r="G179">
        <v>0</v>
      </c>
    </row>
    <row r="180" spans="1:7">
      <c r="A180">
        <v>7</v>
      </c>
      <c r="B180">
        <v>5</v>
      </c>
      <c r="C180">
        <v>0.03</v>
      </c>
      <c r="E180">
        <v>9</v>
      </c>
      <c r="F180">
        <v>40</v>
      </c>
      <c r="G180">
        <v>45</v>
      </c>
    </row>
    <row r="181" spans="1:7">
      <c r="A181">
        <v>9</v>
      </c>
      <c r="B181">
        <v>10</v>
      </c>
      <c r="C181">
        <v>0.16</v>
      </c>
      <c r="E181">
        <v>10</v>
      </c>
      <c r="F181">
        <v>50</v>
      </c>
      <c r="G181">
        <v>60</v>
      </c>
    </row>
    <row r="182" spans="1:7">
      <c r="A182">
        <v>11</v>
      </c>
      <c r="B182">
        <v>15</v>
      </c>
      <c r="C182">
        <v>2</v>
      </c>
      <c r="E182">
        <v>11</v>
      </c>
      <c r="F182">
        <v>60</v>
      </c>
      <c r="G182">
        <v>75</v>
      </c>
    </row>
    <row r="183" spans="1:7">
      <c r="A183">
        <v>12</v>
      </c>
      <c r="B183">
        <v>20</v>
      </c>
      <c r="C183">
        <v>5</v>
      </c>
      <c r="E183">
        <v>12</v>
      </c>
      <c r="F183">
        <v>70</v>
      </c>
      <c r="G183">
        <v>80</v>
      </c>
    </row>
    <row r="184" spans="1:7">
      <c r="A184">
        <v>13</v>
      </c>
      <c r="B184">
        <v>25</v>
      </c>
      <c r="C184">
        <v>10</v>
      </c>
      <c r="E184">
        <v>13</v>
      </c>
      <c r="F184">
        <v>80</v>
      </c>
      <c r="G184">
        <v>95</v>
      </c>
    </row>
    <row r="185" spans="1:7">
      <c r="A185">
        <v>14</v>
      </c>
      <c r="B185">
        <v>30</v>
      </c>
      <c r="C185">
        <v>20</v>
      </c>
      <c r="E185">
        <v>14</v>
      </c>
      <c r="F185">
        <v>90</v>
      </c>
      <c r="G185">
        <v>120</v>
      </c>
    </row>
    <row r="186" spans="1:7">
      <c r="A186">
        <v>15</v>
      </c>
      <c r="B186">
        <v>35</v>
      </c>
      <c r="C186">
        <v>30</v>
      </c>
      <c r="E186">
        <v>15</v>
      </c>
      <c r="F186">
        <v>100</v>
      </c>
      <c r="G186">
        <v>130</v>
      </c>
    </row>
    <row r="189" spans="1:7">
      <c r="A189" t="s">
        <v>435</v>
      </c>
      <c r="B189" t="s">
        <v>273</v>
      </c>
      <c r="C189" s="1" t="s">
        <v>620</v>
      </c>
    </row>
    <row r="190" spans="1:7">
      <c r="A190">
        <v>0</v>
      </c>
      <c r="B190" t="str">
        <f>""</f>
        <v/>
      </c>
      <c r="C190" s="26">
        <v>0</v>
      </c>
    </row>
    <row r="191" spans="1:7">
      <c r="A191">
        <v>1</v>
      </c>
      <c r="B191" t="s">
        <v>578</v>
      </c>
      <c r="C191" s="26">
        <v>0.5</v>
      </c>
    </row>
    <row r="192" spans="1:7">
      <c r="A192">
        <v>2</v>
      </c>
      <c r="B192" t="s">
        <v>508</v>
      </c>
      <c r="C192" s="26">
        <v>0.5</v>
      </c>
    </row>
    <row r="193" spans="1:5">
      <c r="A193">
        <v>3</v>
      </c>
      <c r="B193" t="s">
        <v>575</v>
      </c>
      <c r="C193" s="26">
        <v>1</v>
      </c>
    </row>
    <row r="196" spans="1:5">
      <c r="A196" s="1" t="s">
        <v>669</v>
      </c>
      <c r="B196" s="1" t="s">
        <v>384</v>
      </c>
      <c r="C196" t="s">
        <v>238</v>
      </c>
      <c r="D196" s="1" t="s">
        <v>687</v>
      </c>
      <c r="E196" s="1" t="s">
        <v>470</v>
      </c>
    </row>
    <row r="197" spans="1:5">
      <c r="A197" s="1">
        <v>0</v>
      </c>
      <c r="B197" s="1">
        <v>0</v>
      </c>
      <c r="C197" t="str">
        <f>""</f>
        <v/>
      </c>
      <c r="D197" s="1">
        <v>0</v>
      </c>
      <c r="E197" s="1">
        <v>0</v>
      </c>
    </row>
    <row r="198" spans="1:5">
      <c r="A198">
        <v>11</v>
      </c>
      <c r="B198">
        <v>1</v>
      </c>
      <c r="C198" t="s">
        <v>342</v>
      </c>
      <c r="D198">
        <v>10</v>
      </c>
      <c r="E198">
        <v>1</v>
      </c>
    </row>
    <row r="200" spans="1:5">
      <c r="A200" s="1">
        <v>0</v>
      </c>
      <c r="B200" s="1">
        <v>0</v>
      </c>
      <c r="C200" t="str">
        <f>""</f>
        <v/>
      </c>
      <c r="D200" s="1">
        <v>0</v>
      </c>
      <c r="E200" s="1">
        <v>0</v>
      </c>
    </row>
    <row r="201" spans="1:5">
      <c r="A201">
        <v>9</v>
      </c>
      <c r="B201">
        <v>1</v>
      </c>
      <c r="C201" t="s">
        <v>549</v>
      </c>
      <c r="D201">
        <v>5</v>
      </c>
      <c r="E201">
        <v>0.1</v>
      </c>
    </row>
    <row r="202" spans="1:5">
      <c r="A202">
        <v>11</v>
      </c>
      <c r="B202">
        <v>2</v>
      </c>
      <c r="C202" t="s">
        <v>549</v>
      </c>
      <c r="D202">
        <v>10</v>
      </c>
      <c r="E202">
        <v>0.2</v>
      </c>
    </row>
    <row r="203" spans="1:5">
      <c r="A203">
        <v>12</v>
      </c>
      <c r="B203">
        <v>3</v>
      </c>
      <c r="C203" t="s">
        <v>549</v>
      </c>
      <c r="D203">
        <v>15</v>
      </c>
      <c r="E203">
        <v>0.3</v>
      </c>
    </row>
    <row r="204" spans="1:5">
      <c r="A204">
        <v>13</v>
      </c>
      <c r="B204">
        <v>4</v>
      </c>
      <c r="C204" t="s">
        <v>549</v>
      </c>
      <c r="D204">
        <v>20</v>
      </c>
      <c r="E204">
        <v>0.4</v>
      </c>
    </row>
    <row r="205" spans="1:5">
      <c r="A205">
        <v>14</v>
      </c>
      <c r="B205">
        <v>5</v>
      </c>
      <c r="C205" t="s">
        <v>549</v>
      </c>
      <c r="D205">
        <v>25</v>
      </c>
      <c r="E205">
        <v>0.5</v>
      </c>
    </row>
    <row r="206" spans="1:5">
      <c r="A206">
        <v>15</v>
      </c>
      <c r="B206">
        <v>6</v>
      </c>
      <c r="C206" t="s">
        <v>549</v>
      </c>
      <c r="D206">
        <v>30</v>
      </c>
      <c r="E206">
        <v>0.6</v>
      </c>
    </row>
    <row r="208" spans="1:5">
      <c r="A208" s="1">
        <v>0</v>
      </c>
      <c r="B208" s="1">
        <v>0</v>
      </c>
      <c r="C208" t="str">
        <f>""</f>
        <v/>
      </c>
      <c r="D208" s="1">
        <v>0</v>
      </c>
      <c r="E208" s="1">
        <v>0</v>
      </c>
    </row>
    <row r="209" spans="1:5">
      <c r="A209">
        <v>9</v>
      </c>
      <c r="B209">
        <v>1</v>
      </c>
      <c r="C209" t="s">
        <v>97</v>
      </c>
      <c r="D209">
        <v>10</v>
      </c>
      <c r="E209">
        <v>1</v>
      </c>
    </row>
    <row r="210" spans="1:5">
      <c r="A210">
        <v>11</v>
      </c>
      <c r="B210">
        <v>2</v>
      </c>
      <c r="C210" t="s">
        <v>97</v>
      </c>
      <c r="D210">
        <v>15</v>
      </c>
      <c r="E210">
        <v>2</v>
      </c>
    </row>
    <row r="211" spans="1:5">
      <c r="A211">
        <v>13</v>
      </c>
      <c r="B211">
        <v>3</v>
      </c>
      <c r="C211" t="s">
        <v>97</v>
      </c>
      <c r="D211">
        <v>25</v>
      </c>
      <c r="E211">
        <v>3</v>
      </c>
    </row>
    <row r="213" spans="1:5">
      <c r="A213" s="1">
        <v>0</v>
      </c>
      <c r="B213" s="1">
        <v>0</v>
      </c>
      <c r="C213" t="str">
        <f>""</f>
        <v/>
      </c>
      <c r="D213" s="1">
        <v>0</v>
      </c>
      <c r="E213" s="1">
        <v>0</v>
      </c>
    </row>
    <row r="214" spans="1:5">
      <c r="A214">
        <v>9</v>
      </c>
      <c r="B214">
        <v>1</v>
      </c>
      <c r="C214" t="s">
        <v>267</v>
      </c>
      <c r="D214">
        <v>5</v>
      </c>
      <c r="E214">
        <v>2</v>
      </c>
    </row>
    <row r="215" spans="1:5">
      <c r="A215">
        <v>10</v>
      </c>
      <c r="B215">
        <v>2</v>
      </c>
      <c r="C215" t="s">
        <v>267</v>
      </c>
      <c r="D215">
        <v>10</v>
      </c>
      <c r="E215">
        <v>4</v>
      </c>
    </row>
    <row r="216" spans="1:5">
      <c r="A216">
        <v>11</v>
      </c>
      <c r="B216">
        <v>3</v>
      </c>
      <c r="C216" t="s">
        <v>267</v>
      </c>
      <c r="D216">
        <v>15</v>
      </c>
      <c r="E216">
        <v>6</v>
      </c>
    </row>
    <row r="217" spans="1:5">
      <c r="A217">
        <v>12</v>
      </c>
      <c r="B217">
        <v>4</v>
      </c>
      <c r="C217" t="s">
        <v>267</v>
      </c>
      <c r="D217">
        <v>20</v>
      </c>
      <c r="E217">
        <v>8</v>
      </c>
    </row>
    <row r="218" spans="1:5">
      <c r="A218">
        <v>13</v>
      </c>
      <c r="B218">
        <v>5</v>
      </c>
      <c r="C218" t="s">
        <v>267</v>
      </c>
      <c r="D218">
        <v>25</v>
      </c>
      <c r="E218">
        <v>10</v>
      </c>
    </row>
    <row r="220" spans="1:5">
      <c r="A220" s="1">
        <v>0</v>
      </c>
      <c r="B220" s="1">
        <v>0</v>
      </c>
      <c r="C220" t="str">
        <f>""</f>
        <v/>
      </c>
      <c r="D220" s="1">
        <v>0</v>
      </c>
      <c r="E220" s="1">
        <v>0</v>
      </c>
    </row>
    <row r="221" spans="1:5">
      <c r="A221">
        <v>10</v>
      </c>
      <c r="B221">
        <v>1</v>
      </c>
      <c r="C221" t="s">
        <v>383</v>
      </c>
      <c r="D221">
        <v>10</v>
      </c>
      <c r="E221">
        <v>5</v>
      </c>
    </row>
    <row r="222" spans="1:5">
      <c r="A222">
        <v>12</v>
      </c>
      <c r="B222">
        <v>2</v>
      </c>
      <c r="C222" t="s">
        <v>383</v>
      </c>
      <c r="D222">
        <v>20</v>
      </c>
      <c r="E222">
        <v>10</v>
      </c>
    </row>
    <row r="224" spans="1:5">
      <c r="A224" s="1">
        <v>0</v>
      </c>
      <c r="B224" s="1">
        <v>0</v>
      </c>
      <c r="C224" t="str">
        <f>""</f>
        <v/>
      </c>
      <c r="D224" s="1">
        <v>0</v>
      </c>
      <c r="E224" s="1">
        <v>0</v>
      </c>
    </row>
    <row r="225" spans="1:5">
      <c r="A225">
        <v>10</v>
      </c>
      <c r="B225">
        <v>1</v>
      </c>
      <c r="C225" t="s">
        <v>83</v>
      </c>
      <c r="D225">
        <v>15</v>
      </c>
      <c r="E225">
        <v>12</v>
      </c>
    </row>
    <row r="226" spans="1:5">
      <c r="A226">
        <v>12</v>
      </c>
      <c r="B226">
        <v>2</v>
      </c>
      <c r="C226" t="s">
        <v>83</v>
      </c>
      <c r="D226">
        <v>25</v>
      </c>
      <c r="E226">
        <v>15</v>
      </c>
    </row>
    <row r="227" spans="1:5">
      <c r="A227">
        <v>14</v>
      </c>
      <c r="B227">
        <v>3</v>
      </c>
      <c r="C227" t="s">
        <v>83</v>
      </c>
      <c r="D227">
        <v>30</v>
      </c>
      <c r="E227">
        <v>18</v>
      </c>
    </row>
    <row r="229" spans="1:5">
      <c r="A229" s="1">
        <v>0</v>
      </c>
      <c r="B229" s="1">
        <v>0</v>
      </c>
      <c r="C229" t="str">
        <f>""</f>
        <v/>
      </c>
      <c r="D229" s="1">
        <v>0</v>
      </c>
      <c r="E229" s="1">
        <v>0</v>
      </c>
    </row>
    <row r="230" spans="1:5">
      <c r="A230">
        <v>11</v>
      </c>
      <c r="B230">
        <v>1</v>
      </c>
      <c r="C230" t="s">
        <v>373</v>
      </c>
      <c r="D230">
        <v>2</v>
      </c>
      <c r="E230">
        <v>6</v>
      </c>
    </row>
    <row r="231" spans="1:5">
      <c r="A231">
        <v>12</v>
      </c>
      <c r="B231">
        <v>2</v>
      </c>
      <c r="C231" t="s">
        <v>373</v>
      </c>
      <c r="D231">
        <v>5</v>
      </c>
      <c r="E231">
        <v>8</v>
      </c>
    </row>
    <row r="232" spans="1:5">
      <c r="A232">
        <v>13</v>
      </c>
      <c r="B232">
        <v>3</v>
      </c>
      <c r="C232" t="s">
        <v>373</v>
      </c>
      <c r="D232">
        <v>10</v>
      </c>
      <c r="E232">
        <v>10</v>
      </c>
    </row>
    <row r="234" spans="1:5">
      <c r="A234" s="1">
        <v>0</v>
      </c>
      <c r="B234" s="1">
        <v>0</v>
      </c>
      <c r="C234" t="str">
        <f>""</f>
        <v/>
      </c>
      <c r="D234" s="1">
        <v>0</v>
      </c>
      <c r="E234" s="1">
        <v>0</v>
      </c>
    </row>
    <row r="235" spans="1:5">
      <c r="A235">
        <v>9</v>
      </c>
      <c r="B235">
        <v>1</v>
      </c>
      <c r="C235" t="s">
        <v>409</v>
      </c>
      <c r="D235">
        <v>5</v>
      </c>
      <c r="E235">
        <v>18</v>
      </c>
    </row>
    <row r="236" spans="1:5">
      <c r="A236">
        <v>12</v>
      </c>
      <c r="B236">
        <v>2</v>
      </c>
      <c r="C236" t="s">
        <v>409</v>
      </c>
      <c r="D236">
        <v>10</v>
      </c>
      <c r="E236">
        <v>24</v>
      </c>
    </row>
    <row r="237" spans="1:5">
      <c r="A237">
        <v>15</v>
      </c>
      <c r="B237">
        <v>3</v>
      </c>
      <c r="C237" t="s">
        <v>409</v>
      </c>
      <c r="D237">
        <v>15</v>
      </c>
      <c r="E237">
        <v>36</v>
      </c>
    </row>
    <row r="239" spans="1:5">
      <c r="A239" s="1">
        <v>0</v>
      </c>
      <c r="B239" s="1">
        <v>0</v>
      </c>
      <c r="C239" t="str">
        <f>""</f>
        <v/>
      </c>
      <c r="D239" s="1">
        <v>0</v>
      </c>
      <c r="E239" s="1">
        <v>0</v>
      </c>
    </row>
    <row r="240" spans="1:5">
      <c r="A240">
        <v>13</v>
      </c>
      <c r="B240">
        <v>1</v>
      </c>
      <c r="C240" t="s">
        <v>553</v>
      </c>
      <c r="D240">
        <v>12</v>
      </c>
      <c r="E240">
        <v>14</v>
      </c>
    </row>
    <row r="242" spans="1:5">
      <c r="A242" s="1">
        <v>0</v>
      </c>
      <c r="B242" s="1">
        <v>0</v>
      </c>
      <c r="C242" t="str">
        <f>""</f>
        <v/>
      </c>
      <c r="D242" s="1">
        <v>0</v>
      </c>
      <c r="E242" s="1">
        <v>0</v>
      </c>
    </row>
    <row r="243" spans="1:5">
      <c r="A243">
        <v>10</v>
      </c>
      <c r="B243">
        <v>1</v>
      </c>
      <c r="C243" t="s">
        <v>365</v>
      </c>
      <c r="D243">
        <v>10</v>
      </c>
      <c r="E243">
        <v>15</v>
      </c>
    </row>
    <row r="244" spans="1:5">
      <c r="A244">
        <v>13</v>
      </c>
      <c r="B244">
        <v>2</v>
      </c>
      <c r="C244" t="s">
        <v>365</v>
      </c>
      <c r="D244">
        <v>15</v>
      </c>
      <c r="E244">
        <v>18</v>
      </c>
    </row>
    <row r="245" spans="1:5">
      <c r="A245">
        <v>15</v>
      </c>
      <c r="B245">
        <v>3</v>
      </c>
      <c r="C245" t="s">
        <v>365</v>
      </c>
      <c r="D245">
        <v>20</v>
      </c>
      <c r="E245">
        <v>24</v>
      </c>
    </row>
    <row r="247" spans="1:5">
      <c r="A247" s="1">
        <v>0</v>
      </c>
      <c r="B247" s="1">
        <v>0</v>
      </c>
      <c r="C247" t="str">
        <f>""</f>
        <v/>
      </c>
      <c r="D247" s="1">
        <v>0</v>
      </c>
      <c r="E247" s="1">
        <v>0</v>
      </c>
    </row>
    <row r="248" spans="1:5">
      <c r="A248">
        <v>8</v>
      </c>
      <c r="B248">
        <v>1</v>
      </c>
      <c r="C248" t="s">
        <v>718</v>
      </c>
      <c r="D248">
        <v>5</v>
      </c>
      <c r="E248">
        <v>10</v>
      </c>
    </row>
    <row r="249" spans="1:5">
      <c r="A249">
        <v>10</v>
      </c>
      <c r="B249">
        <v>2</v>
      </c>
      <c r="C249" t="s">
        <v>718</v>
      </c>
      <c r="D249">
        <v>10</v>
      </c>
      <c r="E249">
        <v>12</v>
      </c>
    </row>
    <row r="250" spans="1:5">
      <c r="A250">
        <v>12</v>
      </c>
      <c r="B250">
        <v>3</v>
      </c>
      <c r="C250" t="s">
        <v>718</v>
      </c>
      <c r="D250">
        <v>15</v>
      </c>
      <c r="E250">
        <v>16</v>
      </c>
    </row>
    <row r="252" spans="1:5">
      <c r="A252" s="1">
        <v>0</v>
      </c>
      <c r="B252" s="1">
        <v>0</v>
      </c>
      <c r="C252" t="str">
        <f>""</f>
        <v/>
      </c>
      <c r="D252" s="1">
        <v>0</v>
      </c>
      <c r="E252" s="1">
        <v>0</v>
      </c>
    </row>
    <row r="253" spans="1:5">
      <c r="A253">
        <v>9</v>
      </c>
      <c r="B253">
        <v>1</v>
      </c>
      <c r="C253" t="s">
        <v>554</v>
      </c>
      <c r="D253">
        <v>12</v>
      </c>
      <c r="E253">
        <v>8</v>
      </c>
    </row>
    <row r="254" spans="1:5">
      <c r="A254">
        <v>12</v>
      </c>
      <c r="B254">
        <v>2</v>
      </c>
      <c r="C254" t="s">
        <v>554</v>
      </c>
      <c r="D254">
        <v>15</v>
      </c>
      <c r="E254">
        <v>12</v>
      </c>
    </row>
    <row r="256" spans="1:5">
      <c r="A256" s="1">
        <v>0</v>
      </c>
      <c r="B256" s="1">
        <v>0</v>
      </c>
      <c r="C256" t="str">
        <f>""</f>
        <v/>
      </c>
      <c r="D256" s="1">
        <v>0</v>
      </c>
      <c r="E256" s="1">
        <v>0</v>
      </c>
    </row>
    <row r="257" spans="1:7">
      <c r="A257">
        <v>10</v>
      </c>
      <c r="B257">
        <v>1</v>
      </c>
      <c r="C257" t="s">
        <v>642</v>
      </c>
      <c r="D257">
        <v>10</v>
      </c>
      <c r="E257">
        <v>5</v>
      </c>
    </row>
    <row r="259" spans="1:7">
      <c r="A259" s="1">
        <v>0</v>
      </c>
      <c r="B259" s="1">
        <v>0</v>
      </c>
      <c r="C259" t="str">
        <f>""</f>
        <v/>
      </c>
      <c r="D259" s="1">
        <v>0</v>
      </c>
      <c r="E259" s="1">
        <v>0</v>
      </c>
    </row>
    <row r="260" spans="1:7">
      <c r="A260">
        <v>10</v>
      </c>
      <c r="B260">
        <v>1</v>
      </c>
      <c r="C260" t="s">
        <v>79</v>
      </c>
      <c r="D260">
        <v>5</v>
      </c>
      <c r="E260">
        <v>1</v>
      </c>
    </row>
    <row r="261" spans="1:7">
      <c r="A261">
        <v>13</v>
      </c>
      <c r="B261">
        <v>2</v>
      </c>
      <c r="C261" t="s">
        <v>79</v>
      </c>
      <c r="D261">
        <v>10</v>
      </c>
      <c r="E261">
        <v>5</v>
      </c>
    </row>
    <row r="262" spans="1:7">
      <c r="A262">
        <v>15</v>
      </c>
      <c r="B262">
        <v>3</v>
      </c>
      <c r="C262" t="s">
        <v>79</v>
      </c>
      <c r="D262">
        <v>15</v>
      </c>
      <c r="E262">
        <v>10</v>
      </c>
    </row>
    <row r="264" spans="1:7">
      <c r="A264" s="1">
        <v>0</v>
      </c>
      <c r="B264" s="1">
        <v>0</v>
      </c>
      <c r="C264" t="str">
        <f>""</f>
        <v/>
      </c>
      <c r="D264" s="1">
        <v>0</v>
      </c>
      <c r="E264" s="1">
        <v>0</v>
      </c>
    </row>
    <row r="265" spans="1:7">
      <c r="A265">
        <v>9</v>
      </c>
      <c r="B265">
        <v>1</v>
      </c>
      <c r="C265" t="s">
        <v>582</v>
      </c>
      <c r="D265">
        <v>5</v>
      </c>
      <c r="E265">
        <v>1</v>
      </c>
    </row>
    <row r="266" spans="1:7">
      <c r="A266">
        <v>12</v>
      </c>
      <c r="B266">
        <v>2</v>
      </c>
      <c r="C266" t="s">
        <v>582</v>
      </c>
      <c r="D266">
        <v>10</v>
      </c>
      <c r="E266">
        <v>5</v>
      </c>
    </row>
    <row r="267" spans="1:7">
      <c r="A267">
        <v>15</v>
      </c>
      <c r="B267">
        <v>3</v>
      </c>
      <c r="C267" t="s">
        <v>582</v>
      </c>
      <c r="D267">
        <v>15</v>
      </c>
      <c r="E267">
        <v>10</v>
      </c>
    </row>
    <row r="270" spans="1:7">
      <c r="A270" t="s">
        <v>656</v>
      </c>
      <c r="D270" s="1" t="s">
        <v>838</v>
      </c>
      <c r="E270" s="1" t="s">
        <v>1</v>
      </c>
      <c r="F270" s="1" t="s">
        <v>244</v>
      </c>
      <c r="G270" s="1" t="s">
        <v>81</v>
      </c>
    </row>
    <row r="271" spans="1:7">
      <c r="A271">
        <v>8</v>
      </c>
      <c r="B271">
        <v>0</v>
      </c>
      <c r="C271" t="s">
        <v>735</v>
      </c>
      <c r="D271">
        <v>0</v>
      </c>
      <c r="E271">
        <v>0</v>
      </c>
      <c r="F271">
        <v>0</v>
      </c>
      <c r="G271">
        <v>-4</v>
      </c>
    </row>
    <row r="272" spans="1:7">
      <c r="A272">
        <v>9</v>
      </c>
      <c r="B272">
        <v>1</v>
      </c>
      <c r="C272" t="s">
        <v>425</v>
      </c>
      <c r="D272">
        <v>1</v>
      </c>
      <c r="E272">
        <v>3</v>
      </c>
      <c r="F272">
        <v>1</v>
      </c>
      <c r="G272">
        <v>-2</v>
      </c>
    </row>
    <row r="273" spans="1:7">
      <c r="A273">
        <v>10</v>
      </c>
      <c r="B273">
        <v>2</v>
      </c>
      <c r="C273" t="s">
        <v>497</v>
      </c>
      <c r="D273">
        <v>2</v>
      </c>
      <c r="E273">
        <v>4.0999999999999996</v>
      </c>
      <c r="F273">
        <v>2</v>
      </c>
      <c r="G273">
        <v>0</v>
      </c>
    </row>
    <row r="274" spans="1:7">
      <c r="A274">
        <v>12</v>
      </c>
      <c r="B274">
        <v>3</v>
      </c>
      <c r="C274" t="s">
        <v>283</v>
      </c>
      <c r="D274">
        <v>3</v>
      </c>
      <c r="E274">
        <v>4.3</v>
      </c>
      <c r="F274">
        <v>4</v>
      </c>
      <c r="G274">
        <v>1</v>
      </c>
    </row>
    <row r="275" spans="1:7">
      <c r="A275">
        <v>15</v>
      </c>
      <c r="B275">
        <v>4</v>
      </c>
      <c r="C275" t="s">
        <v>341</v>
      </c>
      <c r="D275">
        <v>5</v>
      </c>
      <c r="E275">
        <v>5.3</v>
      </c>
      <c r="F275">
        <v>6</v>
      </c>
      <c r="G275">
        <v>2</v>
      </c>
    </row>
    <row r="277" spans="1:7">
      <c r="A277" t="s">
        <v>616</v>
      </c>
      <c r="D277" s="1" t="s">
        <v>372</v>
      </c>
      <c r="E277" s="1" t="s">
        <v>1</v>
      </c>
      <c r="F277" s="1" t="s">
        <v>192</v>
      </c>
    </row>
    <row r="278" spans="1:7">
      <c r="A278">
        <v>0</v>
      </c>
      <c r="B278">
        <v>0</v>
      </c>
      <c r="C278" t="s">
        <v>509</v>
      </c>
      <c r="D278">
        <v>0</v>
      </c>
      <c r="E278">
        <v>0</v>
      </c>
      <c r="F278">
        <v>0</v>
      </c>
    </row>
    <row r="279" spans="1:7">
      <c r="A279">
        <v>11</v>
      </c>
      <c r="B279">
        <v>1</v>
      </c>
      <c r="C279" t="s">
        <v>120</v>
      </c>
      <c r="D279">
        <v>3</v>
      </c>
      <c r="E279">
        <v>3</v>
      </c>
      <c r="F279">
        <v>2</v>
      </c>
    </row>
    <row r="280" spans="1:7">
      <c r="A280">
        <v>11</v>
      </c>
      <c r="B280">
        <v>2</v>
      </c>
      <c r="C280" t="s">
        <v>513</v>
      </c>
      <c r="D280">
        <v>3</v>
      </c>
      <c r="E280">
        <v>5</v>
      </c>
      <c r="F280">
        <v>2</v>
      </c>
    </row>
    <row r="281" spans="1:7">
      <c r="A281">
        <v>11</v>
      </c>
      <c r="B281">
        <v>3</v>
      </c>
      <c r="C281" t="s">
        <v>236</v>
      </c>
      <c r="D281">
        <v>3</v>
      </c>
      <c r="E281">
        <v>3</v>
      </c>
      <c r="F281">
        <v>1</v>
      </c>
    </row>
    <row r="283" spans="1:7">
      <c r="A283" t="s">
        <v>499</v>
      </c>
      <c r="D283" s="1" t="s">
        <v>838</v>
      </c>
      <c r="E283" s="1" t="s">
        <v>1</v>
      </c>
      <c r="F283" s="1" t="s">
        <v>244</v>
      </c>
      <c r="G283" s="1" t="s">
        <v>81</v>
      </c>
    </row>
    <row r="284" spans="1:7">
      <c r="A284">
        <v>0</v>
      </c>
      <c r="B284">
        <v>0</v>
      </c>
      <c r="C284" t="s">
        <v>394</v>
      </c>
      <c r="D284">
        <v>0</v>
      </c>
      <c r="E284">
        <v>0</v>
      </c>
      <c r="F284">
        <v>0</v>
      </c>
      <c r="G284">
        <v>0</v>
      </c>
    </row>
    <row r="285" spans="1:7">
      <c r="A285">
        <v>11</v>
      </c>
      <c r="B285">
        <v>1</v>
      </c>
      <c r="C285" t="s">
        <v>259</v>
      </c>
      <c r="D285">
        <v>1</v>
      </c>
      <c r="E285">
        <v>4</v>
      </c>
      <c r="F285">
        <v>1</v>
      </c>
      <c r="G285">
        <v>2</v>
      </c>
    </row>
    <row r="286" spans="1:7">
      <c r="A286">
        <v>13</v>
      </c>
      <c r="B286">
        <v>2</v>
      </c>
      <c r="C286" t="s">
        <v>284</v>
      </c>
      <c r="D286">
        <v>2</v>
      </c>
      <c r="E286">
        <v>8</v>
      </c>
      <c r="F286">
        <v>2</v>
      </c>
      <c r="G286">
        <v>4</v>
      </c>
    </row>
    <row r="288" spans="1:7">
      <c r="A288" t="s">
        <v>271</v>
      </c>
    </row>
    <row r="289" spans="1:7">
      <c r="A289">
        <v>0</v>
      </c>
      <c r="B289">
        <v>0</v>
      </c>
      <c r="C289" t="s">
        <v>252</v>
      </c>
      <c r="D289">
        <v>0</v>
      </c>
      <c r="E289">
        <v>0</v>
      </c>
      <c r="F289">
        <v>0</v>
      </c>
      <c r="G289">
        <v>-9</v>
      </c>
    </row>
    <row r="290" spans="1:7">
      <c r="A290">
        <v>13</v>
      </c>
      <c r="B290">
        <v>1</v>
      </c>
      <c r="C290" t="s">
        <v>839</v>
      </c>
      <c r="D290">
        <v>2</v>
      </c>
      <c r="E290">
        <v>4</v>
      </c>
      <c r="F290">
        <v>1</v>
      </c>
      <c r="G290">
        <v>4</v>
      </c>
    </row>
    <row r="291" spans="1:7">
      <c r="A291">
        <v>15</v>
      </c>
      <c r="B291">
        <v>2</v>
      </c>
      <c r="C291" t="s">
        <v>152</v>
      </c>
      <c r="D291">
        <v>15</v>
      </c>
      <c r="E291">
        <v>28</v>
      </c>
      <c r="F291">
        <v>2</v>
      </c>
      <c r="G291">
        <v>6</v>
      </c>
    </row>
    <row r="293" spans="1:7">
      <c r="A293" t="s">
        <v>122</v>
      </c>
    </row>
    <row r="294" spans="1:7">
      <c r="A294">
        <v>0</v>
      </c>
      <c r="B294">
        <v>0</v>
      </c>
      <c r="C294" t="s">
        <v>200</v>
      </c>
      <c r="D294">
        <v>0</v>
      </c>
      <c r="E294">
        <v>0</v>
      </c>
    </row>
    <row r="295" spans="1:7">
      <c r="A295">
        <v>0</v>
      </c>
      <c r="B295">
        <v>1</v>
      </c>
      <c r="C295" t="s">
        <v>532</v>
      </c>
      <c r="D295">
        <v>10</v>
      </c>
      <c r="E295">
        <v>20</v>
      </c>
    </row>
    <row r="296" spans="1:7">
      <c r="A296">
        <v>13</v>
      </c>
      <c r="B296">
        <v>2</v>
      </c>
      <c r="C296" t="s">
        <v>500</v>
      </c>
      <c r="D296">
        <v>20</v>
      </c>
      <c r="E296">
        <v>10</v>
      </c>
    </row>
    <row r="298" spans="1:7">
      <c r="A298" t="s">
        <v>501</v>
      </c>
    </row>
    <row r="299" spans="1:7">
      <c r="A299">
        <v>0</v>
      </c>
      <c r="B299">
        <v>0</v>
      </c>
      <c r="C299" t="s">
        <v>200</v>
      </c>
      <c r="D299">
        <v>0</v>
      </c>
      <c r="E299">
        <v>0</v>
      </c>
    </row>
    <row r="300" spans="1:7">
      <c r="A300">
        <v>10</v>
      </c>
      <c r="B300">
        <v>1</v>
      </c>
      <c r="C300" t="s">
        <v>532</v>
      </c>
      <c r="D300">
        <v>500</v>
      </c>
      <c r="E300">
        <v>50</v>
      </c>
    </row>
    <row r="301" spans="1:7">
      <c r="A301">
        <v>12</v>
      </c>
      <c r="B301">
        <v>2</v>
      </c>
      <c r="C301" t="s">
        <v>212</v>
      </c>
      <c r="D301">
        <v>250</v>
      </c>
      <c r="E301">
        <v>100</v>
      </c>
    </row>
    <row r="302" spans="1:7">
      <c r="A302">
        <v>13</v>
      </c>
      <c r="B302">
        <v>3</v>
      </c>
      <c r="C302" t="s">
        <v>500</v>
      </c>
      <c r="D302">
        <v>150</v>
      </c>
      <c r="E302">
        <v>150</v>
      </c>
    </row>
    <row r="305" spans="1:7">
      <c r="A305" s="68" t="s">
        <v>482</v>
      </c>
      <c r="D305" s="1" t="s">
        <v>838</v>
      </c>
      <c r="E305" s="1" t="s">
        <v>1</v>
      </c>
      <c r="F305" s="1" t="s">
        <v>765</v>
      </c>
      <c r="G305" s="1" t="s">
        <v>545</v>
      </c>
    </row>
    <row r="306" spans="1:7">
      <c r="A306" t="s">
        <v>58</v>
      </c>
      <c r="B306">
        <v>0</v>
      </c>
      <c r="C306" t="str">
        <f>""</f>
        <v/>
      </c>
      <c r="D306">
        <v>0</v>
      </c>
      <c r="E306">
        <v>0</v>
      </c>
      <c r="F306">
        <v>0</v>
      </c>
      <c r="G306">
        <v>0</v>
      </c>
    </row>
    <row r="307" spans="1:7">
      <c r="A307" t="s">
        <v>719</v>
      </c>
      <c r="B307">
        <v>10</v>
      </c>
      <c r="C307" t="str">
        <f>""</f>
        <v/>
      </c>
      <c r="D307">
        <v>10</v>
      </c>
      <c r="E307">
        <v>5</v>
      </c>
      <c r="F307">
        <v>1</v>
      </c>
      <c r="G307">
        <v>0</v>
      </c>
    </row>
    <row r="308" spans="1:7">
      <c r="A308" t="s">
        <v>110</v>
      </c>
      <c r="B308">
        <v>13</v>
      </c>
      <c r="C308" t="str">
        <f>""</f>
        <v/>
      </c>
      <c r="D308">
        <v>1</v>
      </c>
      <c r="E308">
        <v>1</v>
      </c>
      <c r="F308">
        <v>1</v>
      </c>
      <c r="G308">
        <v>0</v>
      </c>
    </row>
    <row r="309" spans="1:7">
      <c r="A309" t="s">
        <v>716</v>
      </c>
      <c r="B309">
        <v>13</v>
      </c>
      <c r="C309" t="s">
        <v>540</v>
      </c>
      <c r="D309">
        <v>5</v>
      </c>
      <c r="E309">
        <v>12</v>
      </c>
      <c r="F309">
        <v>6</v>
      </c>
      <c r="G309">
        <v>6</v>
      </c>
    </row>
    <row r="310" spans="1:7">
      <c r="A310" t="s">
        <v>111</v>
      </c>
      <c r="B310">
        <v>12</v>
      </c>
      <c r="C310" t="str">
        <f>""</f>
        <v/>
      </c>
      <c r="D310">
        <v>1</v>
      </c>
      <c r="E310">
        <v>2</v>
      </c>
      <c r="F310">
        <v>1</v>
      </c>
      <c r="G310">
        <v>0</v>
      </c>
    </row>
    <row r="311" spans="1:7">
      <c r="A311" t="s">
        <v>562</v>
      </c>
      <c r="B311">
        <v>14</v>
      </c>
      <c r="C311" t="str">
        <f>""</f>
        <v/>
      </c>
      <c r="D311">
        <v>1</v>
      </c>
      <c r="E311">
        <v>4</v>
      </c>
      <c r="F311">
        <v>1</v>
      </c>
      <c r="G311">
        <v>0</v>
      </c>
    </row>
    <row r="312" spans="1:7">
      <c r="A312" t="s">
        <v>743</v>
      </c>
      <c r="B312">
        <v>0</v>
      </c>
      <c r="C312" t="str">
        <f>""</f>
        <v/>
      </c>
      <c r="D312">
        <v>0</v>
      </c>
      <c r="E312">
        <v>5</v>
      </c>
      <c r="F312">
        <v>0</v>
      </c>
      <c r="G312">
        <v>0</v>
      </c>
    </row>
    <row r="313" spans="1:7">
      <c r="A313" t="s">
        <v>689</v>
      </c>
      <c r="B313">
        <v>14</v>
      </c>
      <c r="C313" t="str">
        <f>""</f>
        <v/>
      </c>
      <c r="D313">
        <v>0</v>
      </c>
      <c r="E313">
        <v>5</v>
      </c>
      <c r="F313">
        <v>1</v>
      </c>
      <c r="G313">
        <v>0</v>
      </c>
    </row>
    <row r="314" spans="1:7">
      <c r="A314" t="s">
        <v>720</v>
      </c>
      <c r="B314">
        <v>10</v>
      </c>
      <c r="C314" t="str">
        <f>""</f>
        <v/>
      </c>
      <c r="D314">
        <v>10</v>
      </c>
      <c r="E314">
        <v>20</v>
      </c>
      <c r="F314">
        <v>0</v>
      </c>
      <c r="G314">
        <v>0</v>
      </c>
    </row>
    <row r="315" spans="1:7">
      <c r="A315" t="s">
        <v>651</v>
      </c>
      <c r="B315">
        <v>13</v>
      </c>
      <c r="C315" t="str">
        <f>""</f>
        <v/>
      </c>
      <c r="D315">
        <v>20</v>
      </c>
      <c r="E315">
        <v>10</v>
      </c>
      <c r="F315">
        <v>0</v>
      </c>
      <c r="G315">
        <v>0</v>
      </c>
    </row>
    <row r="316" spans="1:7">
      <c r="A316" t="s">
        <v>375</v>
      </c>
      <c r="B316">
        <v>10</v>
      </c>
      <c r="C316" t="str">
        <f>""</f>
        <v/>
      </c>
      <c r="D316">
        <v>500</v>
      </c>
      <c r="E316">
        <v>50</v>
      </c>
      <c r="F316">
        <v>0</v>
      </c>
      <c r="G316">
        <v>0</v>
      </c>
    </row>
    <row r="317" spans="1:7">
      <c r="A317" t="s">
        <v>576</v>
      </c>
      <c r="B317">
        <v>12</v>
      </c>
      <c r="C317" t="str">
        <f>""</f>
        <v/>
      </c>
      <c r="D317">
        <v>250</v>
      </c>
      <c r="E317">
        <v>100</v>
      </c>
      <c r="F317">
        <v>0</v>
      </c>
      <c r="G317">
        <v>0</v>
      </c>
    </row>
    <row r="318" spans="1:7">
      <c r="A318" t="s">
        <v>177</v>
      </c>
      <c r="B318">
        <v>13</v>
      </c>
      <c r="C318" t="str">
        <f>""</f>
        <v/>
      </c>
      <c r="D318">
        <v>150</v>
      </c>
      <c r="E318">
        <v>150</v>
      </c>
      <c r="F318">
        <v>0</v>
      </c>
      <c r="G318">
        <v>0</v>
      </c>
    </row>
    <row r="321" spans="1:13">
      <c r="A321" s="68" t="s">
        <v>408</v>
      </c>
      <c r="B321" s="76" t="s">
        <v>788</v>
      </c>
      <c r="C321" t="s">
        <v>789</v>
      </c>
      <c r="D321" s="1" t="s">
        <v>838</v>
      </c>
      <c r="E321" s="1" t="s">
        <v>1</v>
      </c>
      <c r="F321" s="1" t="s">
        <v>765</v>
      </c>
      <c r="G321" s="1" t="s">
        <v>378</v>
      </c>
      <c r="H321" s="1" t="s">
        <v>23</v>
      </c>
      <c r="I321" s="1" t="s">
        <v>24</v>
      </c>
      <c r="J321" s="1" t="s">
        <v>159</v>
      </c>
      <c r="K321" s="1" t="s">
        <v>158</v>
      </c>
      <c r="L321" s="1" t="s">
        <v>600</v>
      </c>
      <c r="M321" s="1" t="s">
        <v>820</v>
      </c>
    </row>
    <row r="322" spans="1:13">
      <c r="A322" t="s">
        <v>263</v>
      </c>
      <c r="C322" t="s">
        <v>809</v>
      </c>
      <c r="D322" s="127">
        <v>4</v>
      </c>
      <c r="E322" s="128">
        <v>0.5</v>
      </c>
      <c r="L322" t="str">
        <f xml:space="preserve"> ""</f>
        <v/>
      </c>
      <c r="M322">
        <v>0</v>
      </c>
    </row>
    <row r="323" spans="1:13">
      <c r="A323" t="s">
        <v>201</v>
      </c>
      <c r="B323">
        <v>8</v>
      </c>
      <c r="C323" t="s">
        <v>810</v>
      </c>
      <c r="D323" s="127">
        <v>4</v>
      </c>
      <c r="E323" s="128">
        <v>4</v>
      </c>
      <c r="L323" t="str">
        <f t="shared" ref="L323:L356" si="3" xml:space="preserve"> ""</f>
        <v/>
      </c>
      <c r="M323">
        <v>0</v>
      </c>
    </row>
    <row r="324" spans="1:13">
      <c r="A324" t="s">
        <v>78</v>
      </c>
      <c r="C324" t="s">
        <v>811</v>
      </c>
      <c r="D324" s="127">
        <v>4</v>
      </c>
      <c r="E324" s="128">
        <v>1</v>
      </c>
      <c r="G324">
        <v>1</v>
      </c>
      <c r="L324" t="str">
        <f t="shared" si="3"/>
        <v/>
      </c>
      <c r="M324">
        <v>0</v>
      </c>
    </row>
    <row r="325" spans="1:13">
      <c r="A325" t="s">
        <v>698</v>
      </c>
      <c r="C325" t="s">
        <v>812</v>
      </c>
      <c r="D325" s="127">
        <v>6</v>
      </c>
      <c r="E325" s="128">
        <v>0.9</v>
      </c>
      <c r="L325" t="str">
        <f t="shared" si="3"/>
        <v/>
      </c>
      <c r="M325">
        <v>0</v>
      </c>
    </row>
    <row r="326" spans="1:13">
      <c r="A326" t="s">
        <v>800</v>
      </c>
      <c r="C326" t="s">
        <v>813</v>
      </c>
      <c r="D326" s="127">
        <v>4</v>
      </c>
      <c r="E326" s="128">
        <v>0.4</v>
      </c>
      <c r="L326" t="str">
        <f t="shared" si="3"/>
        <v/>
      </c>
      <c r="M326">
        <v>0</v>
      </c>
    </row>
    <row r="327" spans="1:13">
      <c r="A327" t="s">
        <v>862</v>
      </c>
      <c r="C327" t="s">
        <v>840</v>
      </c>
      <c r="D327" s="127">
        <v>1.5</v>
      </c>
      <c r="E327" s="128">
        <v>8.9999999999999993E-3</v>
      </c>
      <c r="L327" t="str">
        <f t="shared" si="3"/>
        <v/>
      </c>
      <c r="M327">
        <v>0</v>
      </c>
    </row>
    <row r="328" spans="1:13">
      <c r="A328" t="s">
        <v>733</v>
      </c>
      <c r="C328" t="s">
        <v>732</v>
      </c>
      <c r="D328" s="127">
        <v>1</v>
      </c>
      <c r="E328" s="128">
        <v>0.1</v>
      </c>
      <c r="M328">
        <v>1</v>
      </c>
    </row>
    <row r="329" spans="1:13">
      <c r="A329" t="s">
        <v>619</v>
      </c>
      <c r="B329">
        <v>14</v>
      </c>
      <c r="C329" t="s">
        <v>841</v>
      </c>
      <c r="D329" s="127">
        <v>6</v>
      </c>
      <c r="E329" s="128">
        <v>6</v>
      </c>
      <c r="L329" t="str">
        <f t="shared" si="3"/>
        <v/>
      </c>
      <c r="M329">
        <v>0</v>
      </c>
    </row>
    <row r="330" spans="1:13">
      <c r="A330" t="s">
        <v>598</v>
      </c>
      <c r="C330" t="s">
        <v>598</v>
      </c>
      <c r="D330" s="127">
        <v>1</v>
      </c>
      <c r="E330" s="128">
        <v>0.2</v>
      </c>
      <c r="F330">
        <v>5.0000000000000001E-3</v>
      </c>
      <c r="L330" t="str">
        <f t="shared" si="3"/>
        <v/>
      </c>
      <c r="M330">
        <v>1</v>
      </c>
    </row>
    <row r="331" spans="1:13">
      <c r="A331" t="s">
        <v>818</v>
      </c>
      <c r="C331" t="s">
        <v>818</v>
      </c>
      <c r="D331" s="127">
        <v>2</v>
      </c>
      <c r="E331" s="128">
        <v>2.5000000000000001E-2</v>
      </c>
      <c r="F331">
        <v>0.02</v>
      </c>
      <c r="J331">
        <v>1</v>
      </c>
      <c r="K331">
        <f>D331*250</f>
        <v>500</v>
      </c>
      <c r="L331" t="str">
        <f t="shared" si="3"/>
        <v/>
      </c>
      <c r="M331">
        <v>1</v>
      </c>
    </row>
    <row r="332" spans="1:13">
      <c r="A332" t="s">
        <v>819</v>
      </c>
      <c r="C332" t="s">
        <v>819</v>
      </c>
      <c r="D332" s="127">
        <v>4</v>
      </c>
      <c r="E332" s="128">
        <v>0.4</v>
      </c>
      <c r="F332">
        <v>0.8</v>
      </c>
      <c r="J332">
        <v>1</v>
      </c>
      <c r="K332">
        <v>1000</v>
      </c>
      <c r="L332" t="str">
        <f t="shared" si="3"/>
        <v/>
      </c>
      <c r="M332">
        <v>1</v>
      </c>
    </row>
    <row r="333" spans="1:13">
      <c r="A333" t="s">
        <v>596</v>
      </c>
      <c r="C333" t="s">
        <v>596</v>
      </c>
      <c r="D333" s="127">
        <v>6</v>
      </c>
      <c r="E333" s="128">
        <v>1.5</v>
      </c>
      <c r="F333">
        <v>0.18</v>
      </c>
      <c r="J333">
        <v>1</v>
      </c>
      <c r="K333">
        <v>1000</v>
      </c>
      <c r="L333" t="str">
        <f t="shared" si="3"/>
        <v/>
      </c>
      <c r="M333">
        <v>1</v>
      </c>
    </row>
    <row r="334" spans="1:13">
      <c r="A334" t="s">
        <v>597</v>
      </c>
      <c r="C334" t="s">
        <v>597</v>
      </c>
      <c r="D334" s="127">
        <v>10</v>
      </c>
      <c r="E334" s="128">
        <v>7.5</v>
      </c>
      <c r="F334">
        <v>0.5</v>
      </c>
      <c r="J334">
        <v>1</v>
      </c>
      <c r="K334">
        <v>5000</v>
      </c>
      <c r="L334" t="str">
        <f t="shared" si="3"/>
        <v/>
      </c>
      <c r="M334">
        <v>1</v>
      </c>
    </row>
    <row r="335" spans="1:13">
      <c r="A335" t="s">
        <v>26</v>
      </c>
      <c r="C335" t="s">
        <v>26</v>
      </c>
      <c r="D335" s="127">
        <v>2</v>
      </c>
      <c r="E335" s="128">
        <v>0.1</v>
      </c>
      <c r="J335">
        <v>1</v>
      </c>
      <c r="K335">
        <f>D335*250</f>
        <v>500</v>
      </c>
      <c r="L335" t="str">
        <f t="shared" si="3"/>
        <v/>
      </c>
      <c r="M335">
        <v>0</v>
      </c>
    </row>
    <row r="336" spans="1:13">
      <c r="A336" t="s">
        <v>565</v>
      </c>
      <c r="C336" t="s">
        <v>842</v>
      </c>
      <c r="D336" s="127">
        <v>4</v>
      </c>
      <c r="E336" s="128">
        <v>0.25</v>
      </c>
      <c r="J336">
        <v>6</v>
      </c>
      <c r="K336">
        <f>D336*250</f>
        <v>1000</v>
      </c>
      <c r="L336" t="str">
        <f t="shared" si="3"/>
        <v/>
      </c>
      <c r="M336">
        <v>0</v>
      </c>
    </row>
    <row r="337" spans="1:13">
      <c r="A337" t="s">
        <v>798</v>
      </c>
      <c r="C337" t="s">
        <v>843</v>
      </c>
      <c r="D337" s="127">
        <v>10</v>
      </c>
      <c r="E337" s="128">
        <v>2.5000000000000001E-2</v>
      </c>
      <c r="J337">
        <v>20</v>
      </c>
      <c r="K337">
        <f>D337*250</f>
        <v>2500</v>
      </c>
      <c r="L337" t="str">
        <f t="shared" si="3"/>
        <v/>
      </c>
      <c r="M337">
        <v>0</v>
      </c>
    </row>
    <row r="338" spans="1:13">
      <c r="A338" t="s">
        <v>475</v>
      </c>
      <c r="C338" t="s">
        <v>844</v>
      </c>
      <c r="D338" s="127">
        <v>1.5</v>
      </c>
      <c r="E338" s="128">
        <v>7.4999999999999997E-2</v>
      </c>
      <c r="J338">
        <v>1</v>
      </c>
      <c r="K338">
        <f xml:space="preserve"> D338*250</f>
        <v>375</v>
      </c>
      <c r="L338" t="str">
        <f t="shared" si="3"/>
        <v/>
      </c>
      <c r="M338">
        <v>0</v>
      </c>
    </row>
    <row r="339" spans="1:13">
      <c r="A339" t="s">
        <v>474</v>
      </c>
      <c r="C339" t="s">
        <v>845</v>
      </c>
      <c r="D339" s="127">
        <v>0.5</v>
      </c>
      <c r="E339" s="128">
        <v>0.03</v>
      </c>
      <c r="J339">
        <v>1</v>
      </c>
      <c r="L339" t="str">
        <f t="shared" si="3"/>
        <v/>
      </c>
      <c r="M339">
        <v>0</v>
      </c>
    </row>
    <row r="340" spans="1:13">
      <c r="A340" t="s">
        <v>339</v>
      </c>
      <c r="C340" t="s">
        <v>846</v>
      </c>
      <c r="D340" s="127">
        <v>1</v>
      </c>
      <c r="E340" s="128">
        <v>0.01</v>
      </c>
      <c r="J340">
        <v>4</v>
      </c>
      <c r="L340" t="str">
        <f t="shared" si="3"/>
        <v/>
      </c>
      <c r="M340">
        <v>1</v>
      </c>
    </row>
    <row r="341" spans="1:13">
      <c r="A341" t="s">
        <v>847</v>
      </c>
      <c r="B341">
        <v>12</v>
      </c>
      <c r="C341" t="s">
        <v>848</v>
      </c>
      <c r="D341" s="127">
        <v>0</v>
      </c>
      <c r="E341" s="128">
        <v>1.5</v>
      </c>
      <c r="L341" t="str">
        <f t="shared" si="3"/>
        <v/>
      </c>
      <c r="M341">
        <v>0</v>
      </c>
    </row>
    <row r="342" spans="1:13">
      <c r="A342" t="s">
        <v>381</v>
      </c>
      <c r="C342" t="s">
        <v>849</v>
      </c>
      <c r="D342" s="127">
        <v>2</v>
      </c>
      <c r="E342" s="128">
        <v>0.2</v>
      </c>
      <c r="L342" t="str">
        <f t="shared" si="3"/>
        <v/>
      </c>
      <c r="M342">
        <v>0</v>
      </c>
    </row>
    <row r="343" spans="1:13">
      <c r="A343" t="s">
        <v>20</v>
      </c>
      <c r="C343" t="s">
        <v>850</v>
      </c>
      <c r="D343" s="127">
        <v>3</v>
      </c>
      <c r="E343" s="128">
        <v>3</v>
      </c>
      <c r="L343" t="str">
        <f t="shared" si="3"/>
        <v/>
      </c>
      <c r="M343">
        <v>0</v>
      </c>
    </row>
    <row r="344" spans="1:13">
      <c r="A344" t="s">
        <v>457</v>
      </c>
      <c r="C344" t="s">
        <v>851</v>
      </c>
      <c r="D344" s="127">
        <v>2</v>
      </c>
      <c r="E344" s="128">
        <v>-1</v>
      </c>
      <c r="L344" t="str">
        <f t="shared" si="3"/>
        <v/>
      </c>
      <c r="M344">
        <v>0</v>
      </c>
    </row>
    <row r="345" spans="1:13">
      <c r="A345" t="s">
        <v>189</v>
      </c>
      <c r="B345">
        <v>8</v>
      </c>
      <c r="C345" t="s">
        <v>852</v>
      </c>
      <c r="D345" s="127">
        <v>0.5</v>
      </c>
      <c r="E345" s="128">
        <v>0.02</v>
      </c>
      <c r="L345" t="str">
        <f t="shared" si="3"/>
        <v/>
      </c>
      <c r="M345">
        <v>0</v>
      </c>
    </row>
    <row r="346" spans="1:13">
      <c r="A346" t="s">
        <v>194</v>
      </c>
      <c r="B346">
        <v>9</v>
      </c>
      <c r="C346" t="s">
        <v>853</v>
      </c>
      <c r="D346" s="127">
        <v>1</v>
      </c>
      <c r="E346" s="128">
        <v>0.15</v>
      </c>
      <c r="L346" t="str">
        <f t="shared" si="3"/>
        <v/>
      </c>
      <c r="M346">
        <v>0</v>
      </c>
    </row>
    <row r="347" spans="1:13">
      <c r="A347" t="s">
        <v>109</v>
      </c>
      <c r="B347">
        <v>10</v>
      </c>
      <c r="C347" t="s">
        <v>854</v>
      </c>
      <c r="D347" s="127">
        <v>0.5</v>
      </c>
      <c r="E347" s="128">
        <v>0.05</v>
      </c>
      <c r="L347" t="str">
        <f t="shared" si="3"/>
        <v/>
      </c>
      <c r="M347">
        <v>0</v>
      </c>
    </row>
    <row r="348" spans="1:13">
      <c r="A348" t="s">
        <v>223</v>
      </c>
      <c r="B348">
        <v>14</v>
      </c>
      <c r="C348" t="s">
        <v>855</v>
      </c>
      <c r="D348" s="127">
        <v>0.5</v>
      </c>
      <c r="E348" s="128">
        <v>0.1</v>
      </c>
      <c r="L348" t="str">
        <f t="shared" si="3"/>
        <v/>
      </c>
      <c r="M348">
        <v>0</v>
      </c>
    </row>
    <row r="349" spans="1:13">
      <c r="A349" t="s">
        <v>467</v>
      </c>
      <c r="B349">
        <v>9</v>
      </c>
      <c r="C349" t="s">
        <v>467</v>
      </c>
      <c r="D349" s="127">
        <v>1</v>
      </c>
      <c r="E349" s="128">
        <v>0.5</v>
      </c>
      <c r="L349" t="str">
        <f t="shared" si="3"/>
        <v/>
      </c>
      <c r="M349">
        <v>1</v>
      </c>
    </row>
    <row r="350" spans="1:13">
      <c r="A350" t="s">
        <v>297</v>
      </c>
      <c r="B350">
        <v>12</v>
      </c>
      <c r="C350" t="s">
        <v>297</v>
      </c>
      <c r="D350" s="127">
        <v>1</v>
      </c>
      <c r="E350" s="128">
        <v>0.8</v>
      </c>
      <c r="L350" t="str">
        <f t="shared" si="3"/>
        <v/>
      </c>
      <c r="M350">
        <v>1</v>
      </c>
    </row>
    <row r="351" spans="1:13">
      <c r="A351" t="s">
        <v>298</v>
      </c>
      <c r="C351" t="s">
        <v>298</v>
      </c>
      <c r="D351" s="127">
        <v>10</v>
      </c>
      <c r="E351" s="128">
        <v>1</v>
      </c>
      <c r="L351" t="str">
        <f t="shared" si="3"/>
        <v/>
      </c>
      <c r="M351">
        <v>1</v>
      </c>
    </row>
    <row r="352" spans="1:13">
      <c r="A352" t="s">
        <v>305</v>
      </c>
      <c r="C352" t="s">
        <v>856</v>
      </c>
      <c r="D352" s="127">
        <v>2</v>
      </c>
      <c r="E352" s="128">
        <v>0.5</v>
      </c>
      <c r="L352" t="str">
        <f t="shared" si="3"/>
        <v/>
      </c>
      <c r="M352">
        <v>0</v>
      </c>
    </row>
    <row r="353" spans="1:13">
      <c r="A353" t="s">
        <v>481</v>
      </c>
      <c r="C353" t="s">
        <v>857</v>
      </c>
      <c r="D353" s="127">
        <v>5</v>
      </c>
      <c r="E353" s="128">
        <v>1</v>
      </c>
      <c r="L353" t="str">
        <f t="shared" si="3"/>
        <v/>
      </c>
      <c r="M353">
        <v>0</v>
      </c>
    </row>
    <row r="354" spans="1:13">
      <c r="A354" t="s">
        <v>466</v>
      </c>
      <c r="B354">
        <v>7</v>
      </c>
      <c r="C354" t="s">
        <v>858</v>
      </c>
      <c r="D354" s="127">
        <v>1</v>
      </c>
      <c r="E354" s="128">
        <v>3.0000000000000001E-3</v>
      </c>
      <c r="F354">
        <v>1</v>
      </c>
      <c r="H354">
        <v>12</v>
      </c>
      <c r="I354">
        <v>0.01</v>
      </c>
      <c r="L354" t="str">
        <f t="shared" si="3"/>
        <v/>
      </c>
      <c r="M354">
        <v>0</v>
      </c>
    </row>
    <row r="355" spans="1:13">
      <c r="A355" t="s">
        <v>258</v>
      </c>
      <c r="C355" t="s">
        <v>859</v>
      </c>
      <c r="D355" s="127">
        <v>2</v>
      </c>
      <c r="E355" s="128">
        <v>1</v>
      </c>
      <c r="L355" t="str">
        <f t="shared" si="3"/>
        <v/>
      </c>
      <c r="M355">
        <v>0</v>
      </c>
    </row>
    <row r="356" spans="1:13">
      <c r="A356" t="s">
        <v>153</v>
      </c>
      <c r="C356" t="s">
        <v>702</v>
      </c>
      <c r="D356" s="127">
        <v>6</v>
      </c>
      <c r="E356" s="128">
        <v>3</v>
      </c>
      <c r="L356" t="str">
        <f t="shared" si="3"/>
        <v/>
      </c>
      <c r="M356">
        <v>0</v>
      </c>
    </row>
    <row r="357" spans="1:13">
      <c r="A357" t="s">
        <v>801</v>
      </c>
      <c r="C357" t="s">
        <v>864</v>
      </c>
      <c r="D357" s="127">
        <v>1</v>
      </c>
      <c r="E357" s="128">
        <v>0.02</v>
      </c>
      <c r="L357" t="s">
        <v>882</v>
      </c>
      <c r="M357">
        <v>1</v>
      </c>
    </row>
    <row r="358" spans="1:13">
      <c r="A358" t="s">
        <v>599</v>
      </c>
      <c r="C358" t="s">
        <v>821</v>
      </c>
      <c r="D358" s="127">
        <v>1</v>
      </c>
      <c r="E358" s="128">
        <v>4.0000000000000001E-3</v>
      </c>
      <c r="L358" t="s">
        <v>72</v>
      </c>
      <c r="M358">
        <v>1</v>
      </c>
    </row>
    <row r="361" spans="1:13">
      <c r="A361" s="68" t="s">
        <v>260</v>
      </c>
    </row>
    <row r="362" spans="1:13">
      <c r="A362">
        <v>0</v>
      </c>
      <c r="C362" t="str">
        <f>""</f>
        <v/>
      </c>
      <c r="D362">
        <v>0</v>
      </c>
      <c r="E362">
        <v>0</v>
      </c>
    </row>
    <row r="363" spans="1:13">
      <c r="A363">
        <v>7</v>
      </c>
      <c r="C363" t="s">
        <v>74</v>
      </c>
      <c r="D363">
        <v>2</v>
      </c>
      <c r="E363">
        <v>0.05</v>
      </c>
    </row>
    <row r="364" spans="1:13">
      <c r="A364">
        <v>9</v>
      </c>
      <c r="C364" t="s">
        <v>160</v>
      </c>
      <c r="D364">
        <v>2</v>
      </c>
      <c r="E364">
        <v>7.4999999999999997E-2</v>
      </c>
    </row>
    <row r="365" spans="1:13">
      <c r="A365">
        <v>12</v>
      </c>
      <c r="C365" t="s">
        <v>196</v>
      </c>
      <c r="D365">
        <v>2</v>
      </c>
      <c r="E365">
        <v>0.1</v>
      </c>
    </row>
    <row r="366" spans="1:13">
      <c r="A366">
        <v>15</v>
      </c>
      <c r="C366" t="s">
        <v>40</v>
      </c>
      <c r="D366">
        <v>2</v>
      </c>
      <c r="E366">
        <v>0.5</v>
      </c>
    </row>
    <row r="369" spans="1:10">
      <c r="A369" s="68" t="s">
        <v>94</v>
      </c>
      <c r="D369" s="1" t="s">
        <v>838</v>
      </c>
      <c r="E369" s="1" t="s">
        <v>1</v>
      </c>
      <c r="F369" s="1" t="s">
        <v>765</v>
      </c>
    </row>
    <row r="370" spans="1:10">
      <c r="A370" t="s">
        <v>710</v>
      </c>
      <c r="D370">
        <v>2</v>
      </c>
      <c r="E370">
        <v>0.05</v>
      </c>
      <c r="F370">
        <v>1</v>
      </c>
    </row>
    <row r="371" spans="1:10">
      <c r="A371" t="s">
        <v>428</v>
      </c>
      <c r="D371">
        <v>4</v>
      </c>
      <c r="E371">
        <v>0.1</v>
      </c>
      <c r="F371">
        <v>2</v>
      </c>
    </row>
    <row r="372" spans="1:10">
      <c r="A372" t="s">
        <v>611</v>
      </c>
      <c r="D372">
        <v>6</v>
      </c>
      <c r="E372">
        <v>0.25</v>
      </c>
      <c r="F372">
        <v>3</v>
      </c>
    </row>
    <row r="373" spans="1:10">
      <c r="A373" t="s">
        <v>350</v>
      </c>
      <c r="D373">
        <v>10</v>
      </c>
      <c r="E373">
        <v>0.75</v>
      </c>
      <c r="F373">
        <v>5</v>
      </c>
    </row>
    <row r="376" spans="1:10">
      <c r="A376" t="s">
        <v>817</v>
      </c>
      <c r="B376" s="1" t="s">
        <v>329</v>
      </c>
      <c r="C376" s="1" t="s">
        <v>696</v>
      </c>
      <c r="D376" s="1" t="s">
        <v>400</v>
      </c>
      <c r="E376" s="1" t="s">
        <v>673</v>
      </c>
      <c r="F376" s="1" t="s">
        <v>765</v>
      </c>
      <c r="G376" s="1" t="s">
        <v>421</v>
      </c>
      <c r="H376" s="1" t="s">
        <v>766</v>
      </c>
      <c r="I376" s="1" t="s">
        <v>402</v>
      </c>
      <c r="J376" s="1" t="s">
        <v>139</v>
      </c>
    </row>
    <row r="377" spans="1:10">
      <c r="A377">
        <v>0</v>
      </c>
      <c r="B377" t="str">
        <f>""</f>
        <v/>
      </c>
      <c r="C377">
        <v>0</v>
      </c>
      <c r="D377">
        <v>0</v>
      </c>
      <c r="E377">
        <v>0</v>
      </c>
      <c r="F377">
        <v>0</v>
      </c>
      <c r="G377" s="1"/>
      <c r="H377">
        <v>0</v>
      </c>
      <c r="I377" s="1"/>
      <c r="J377">
        <v>0</v>
      </c>
    </row>
    <row r="378" spans="1:10">
      <c r="A378">
        <v>1</v>
      </c>
      <c r="B378" t="s">
        <v>404</v>
      </c>
      <c r="C378">
        <v>12</v>
      </c>
      <c r="D378">
        <v>7500</v>
      </c>
      <c r="E378">
        <v>2000</v>
      </c>
      <c r="F378">
        <v>1000</v>
      </c>
      <c r="G378" s="1" t="s">
        <v>756</v>
      </c>
      <c r="H378">
        <v>2</v>
      </c>
      <c r="I378" s="1" t="s">
        <v>640</v>
      </c>
      <c r="J378">
        <v>75000</v>
      </c>
    </row>
    <row r="379" spans="1:10">
      <c r="A379">
        <v>2</v>
      </c>
      <c r="B379" t="s">
        <v>188</v>
      </c>
      <c r="C379">
        <v>11</v>
      </c>
      <c r="D379">
        <v>3500</v>
      </c>
      <c r="E379">
        <v>1000</v>
      </c>
      <c r="F379">
        <v>1000</v>
      </c>
      <c r="G379" s="1" t="s">
        <v>756</v>
      </c>
      <c r="H379">
        <v>1</v>
      </c>
      <c r="I379" s="1" t="s">
        <v>640</v>
      </c>
      <c r="J379">
        <v>28000</v>
      </c>
    </row>
    <row r="380" spans="1:10">
      <c r="A380">
        <v>3</v>
      </c>
      <c r="B380" t="s">
        <v>59</v>
      </c>
      <c r="C380">
        <v>10</v>
      </c>
      <c r="D380">
        <v>3500</v>
      </c>
      <c r="E380">
        <v>500</v>
      </c>
      <c r="F380">
        <v>500</v>
      </c>
      <c r="G380" s="1" t="s">
        <v>453</v>
      </c>
      <c r="H380">
        <v>1</v>
      </c>
      <c r="I380" s="1"/>
      <c r="J380">
        <v>21000</v>
      </c>
    </row>
    <row r="381" spans="1:10">
      <c r="A381">
        <v>4</v>
      </c>
      <c r="B381" t="s">
        <v>653</v>
      </c>
      <c r="C381">
        <v>10</v>
      </c>
      <c r="D381">
        <v>5000</v>
      </c>
      <c r="E381">
        <v>1500</v>
      </c>
      <c r="F381">
        <v>250</v>
      </c>
      <c r="G381" s="1" t="s">
        <v>654</v>
      </c>
      <c r="H381">
        <v>3</v>
      </c>
      <c r="I381" s="1" t="s">
        <v>655</v>
      </c>
      <c r="J381">
        <v>100000</v>
      </c>
    </row>
    <row r="382" spans="1:10">
      <c r="G382" s="1"/>
      <c r="I382" s="1"/>
    </row>
    <row r="383" spans="1:10">
      <c r="A383" t="s">
        <v>93</v>
      </c>
      <c r="C383" s="1" t="s">
        <v>696</v>
      </c>
      <c r="D383" s="1" t="s">
        <v>400</v>
      </c>
      <c r="E383" s="1" t="s">
        <v>673</v>
      </c>
      <c r="G383" s="1"/>
      <c r="I383" s="1"/>
    </row>
    <row r="384" spans="1:10">
      <c r="C384" s="1">
        <v>-10</v>
      </c>
      <c r="D384" s="39">
        <v>-1</v>
      </c>
      <c r="E384" s="39">
        <v>-1</v>
      </c>
      <c r="G384" s="1"/>
      <c r="I384" s="1"/>
    </row>
    <row r="385" spans="1:9">
      <c r="C385">
        <v>0</v>
      </c>
      <c r="D385" s="39">
        <v>0</v>
      </c>
      <c r="E385" s="39">
        <v>0</v>
      </c>
      <c r="G385" s="1"/>
      <c r="I385" s="1"/>
    </row>
    <row r="386" spans="1:9">
      <c r="C386">
        <v>1</v>
      </c>
      <c r="D386" s="40">
        <v>-0.1</v>
      </c>
      <c r="E386" s="40">
        <v>0.1</v>
      </c>
      <c r="G386" s="1"/>
      <c r="I386" s="1"/>
    </row>
    <row r="387" spans="1:9">
      <c r="C387">
        <v>2</v>
      </c>
      <c r="D387" s="40">
        <v>-0.15</v>
      </c>
      <c r="E387" s="40">
        <v>0.2</v>
      </c>
      <c r="G387" s="1"/>
      <c r="I387" s="1"/>
    </row>
    <row r="388" spans="1:9">
      <c r="C388">
        <v>3</v>
      </c>
      <c r="D388" s="40">
        <v>-0.2</v>
      </c>
      <c r="E388" s="40">
        <v>0.3</v>
      </c>
      <c r="G388" s="1"/>
      <c r="I388" s="1"/>
    </row>
    <row r="390" spans="1:9">
      <c r="A390" t="s">
        <v>680</v>
      </c>
      <c r="F390" t="s">
        <v>664</v>
      </c>
    </row>
    <row r="391" spans="1:9">
      <c r="A391" s="1" t="s">
        <v>696</v>
      </c>
      <c r="B391" s="1" t="s">
        <v>400</v>
      </c>
      <c r="C391" s="1" t="s">
        <v>572</v>
      </c>
      <c r="D391" s="1" t="s">
        <v>766</v>
      </c>
      <c r="F391" s="1" t="s">
        <v>696</v>
      </c>
      <c r="G391" s="1" t="s">
        <v>400</v>
      </c>
      <c r="H391" s="1" t="s">
        <v>572</v>
      </c>
      <c r="I391" s="1" t="s">
        <v>766</v>
      </c>
    </row>
    <row r="392" spans="1:9">
      <c r="A392" s="1">
        <v>-10</v>
      </c>
      <c r="B392" s="12">
        <v>-1</v>
      </c>
      <c r="C392" s="12">
        <v>-1</v>
      </c>
      <c r="D392" s="1">
        <v>0</v>
      </c>
      <c r="F392" s="1">
        <v>-3</v>
      </c>
      <c r="G392" s="26">
        <v>-1</v>
      </c>
      <c r="H392" s="26">
        <v>-1</v>
      </c>
      <c r="I392" s="1">
        <v>0</v>
      </c>
    </row>
    <row r="393" spans="1:9">
      <c r="A393" s="1">
        <v>-2</v>
      </c>
      <c r="B393" s="12">
        <v>1</v>
      </c>
      <c r="C393" s="12">
        <v>4</v>
      </c>
      <c r="D393" s="1">
        <v>0</v>
      </c>
      <c r="F393" s="1">
        <v>-2</v>
      </c>
      <c r="G393" s="12">
        <v>1</v>
      </c>
      <c r="H393" s="12">
        <v>4</v>
      </c>
      <c r="I393" s="1">
        <v>0</v>
      </c>
    </row>
    <row r="394" spans="1:9">
      <c r="A394" s="1">
        <v>-1</v>
      </c>
      <c r="B394" s="12">
        <v>0</v>
      </c>
      <c r="C394" s="12">
        <v>1</v>
      </c>
      <c r="D394" s="1">
        <v>0</v>
      </c>
      <c r="F394" s="1">
        <v>-1</v>
      </c>
      <c r="G394" s="12">
        <v>0</v>
      </c>
      <c r="H394" s="12">
        <v>1</v>
      </c>
      <c r="I394" s="1">
        <v>0</v>
      </c>
    </row>
    <row r="395" spans="1:9">
      <c r="A395">
        <v>0</v>
      </c>
      <c r="B395" s="12">
        <v>0</v>
      </c>
      <c r="C395" s="12">
        <v>0</v>
      </c>
      <c r="D395">
        <v>0</v>
      </c>
      <c r="F395">
        <v>0</v>
      </c>
      <c r="G395" s="12">
        <v>0</v>
      </c>
      <c r="H395" s="12">
        <v>0</v>
      </c>
      <c r="I395">
        <v>0</v>
      </c>
    </row>
    <row r="396" spans="1:9">
      <c r="A396">
        <v>1</v>
      </c>
      <c r="B396" s="12">
        <v>-0.1</v>
      </c>
      <c r="C396" s="12">
        <v>-0.1</v>
      </c>
      <c r="D396">
        <v>0</v>
      </c>
      <c r="F396">
        <v>1</v>
      </c>
      <c r="G396" s="12">
        <v>-0.2</v>
      </c>
      <c r="H396" s="12">
        <v>-0.2</v>
      </c>
      <c r="I396">
        <v>0</v>
      </c>
    </row>
    <row r="397" spans="1:9">
      <c r="A397">
        <v>2</v>
      </c>
      <c r="B397" s="12">
        <v>-0.2</v>
      </c>
      <c r="C397" s="12">
        <v>-0.2</v>
      </c>
      <c r="D397">
        <v>0</v>
      </c>
      <c r="F397">
        <v>2</v>
      </c>
      <c r="G397" s="12">
        <v>-0.4</v>
      </c>
      <c r="H397" s="12">
        <v>-0.4</v>
      </c>
      <c r="I397">
        <v>1</v>
      </c>
    </row>
    <row r="398" spans="1:9">
      <c r="A398">
        <v>3</v>
      </c>
      <c r="B398" s="12">
        <v>-0.3</v>
      </c>
      <c r="C398" s="12">
        <v>-0.3</v>
      </c>
      <c r="D398">
        <v>0</v>
      </c>
      <c r="F398">
        <v>3</v>
      </c>
      <c r="G398" s="12">
        <v>-0.6</v>
      </c>
      <c r="H398" s="12">
        <v>-0.6</v>
      </c>
      <c r="I398">
        <v>1</v>
      </c>
    </row>
    <row r="399" spans="1:9">
      <c r="A399">
        <v>4</v>
      </c>
      <c r="B399" s="12">
        <v>-0.4</v>
      </c>
      <c r="C399" s="12">
        <v>-0.4</v>
      </c>
      <c r="D399">
        <v>1</v>
      </c>
      <c r="F399">
        <v>4</v>
      </c>
      <c r="G399" s="12">
        <v>-0.8</v>
      </c>
      <c r="H399" s="12">
        <v>-0.8</v>
      </c>
      <c r="I399">
        <v>2</v>
      </c>
    </row>
    <row r="402" spans="1:12">
      <c r="A402" s="61" t="s">
        <v>207</v>
      </c>
      <c r="B402" s="1" t="s">
        <v>696</v>
      </c>
      <c r="C402" s="1" t="s">
        <v>400</v>
      </c>
      <c r="D402" s="1" t="s">
        <v>673</v>
      </c>
      <c r="E402" s="1" t="s">
        <v>765</v>
      </c>
      <c r="F402" s="1" t="s">
        <v>421</v>
      </c>
      <c r="G402" s="1" t="s">
        <v>766</v>
      </c>
      <c r="H402" s="1" t="s">
        <v>402</v>
      </c>
      <c r="I402" s="1" t="s">
        <v>556</v>
      </c>
      <c r="J402" s="1" t="s">
        <v>309</v>
      </c>
      <c r="K402" s="1" t="s">
        <v>657</v>
      </c>
      <c r="L402" s="1" t="s">
        <v>332</v>
      </c>
    </row>
    <row r="403" spans="1:12">
      <c r="A403" t="s">
        <v>695</v>
      </c>
      <c r="B403" s="1">
        <v>0</v>
      </c>
      <c r="C403" s="1">
        <v>0</v>
      </c>
      <c r="D403" s="1">
        <v>0</v>
      </c>
      <c r="E403" s="1">
        <v>0</v>
      </c>
      <c r="F403" s="1"/>
      <c r="G403" s="1"/>
      <c r="H403" s="1"/>
      <c r="I403">
        <v>0</v>
      </c>
      <c r="J403">
        <v>0</v>
      </c>
      <c r="K403">
        <v>0</v>
      </c>
      <c r="L403">
        <v>0</v>
      </c>
    </row>
    <row r="404" spans="1:12">
      <c r="A404" t="s">
        <v>511</v>
      </c>
      <c r="B404" s="1">
        <v>8</v>
      </c>
      <c r="C404" s="1">
        <v>500</v>
      </c>
      <c r="D404" s="1">
        <v>120</v>
      </c>
      <c r="E404" s="1">
        <v>40</v>
      </c>
      <c r="F404" s="1" t="s">
        <v>739</v>
      </c>
      <c r="G404" s="1" t="s">
        <v>729</v>
      </c>
      <c r="H404" s="1"/>
      <c r="I404">
        <v>12</v>
      </c>
      <c r="J404">
        <v>0</v>
      </c>
      <c r="K404">
        <v>0</v>
      </c>
      <c r="L404">
        <v>20</v>
      </c>
    </row>
    <row r="405" spans="1:12">
      <c r="A405" t="s">
        <v>59</v>
      </c>
      <c r="B405" s="1">
        <v>12</v>
      </c>
      <c r="C405" s="1">
        <v>500</v>
      </c>
      <c r="D405" s="1">
        <v>90</v>
      </c>
      <c r="E405" s="1">
        <v>75</v>
      </c>
      <c r="F405" s="1" t="s">
        <v>739</v>
      </c>
      <c r="G405" s="1" t="s">
        <v>580</v>
      </c>
      <c r="H405" s="1" t="s">
        <v>496</v>
      </c>
      <c r="I405">
        <v>12</v>
      </c>
      <c r="J405">
        <v>0</v>
      </c>
      <c r="K405">
        <v>0</v>
      </c>
      <c r="L405">
        <v>10</v>
      </c>
    </row>
    <row r="406" spans="1:12">
      <c r="A406" t="s">
        <v>514</v>
      </c>
      <c r="B406" s="1">
        <v>7</v>
      </c>
      <c r="C406" s="1">
        <v>500</v>
      </c>
      <c r="D406" s="1">
        <v>125</v>
      </c>
      <c r="E406" s="1">
        <v>50</v>
      </c>
      <c r="F406" s="1" t="str">
        <f>""</f>
        <v/>
      </c>
      <c r="G406" s="1" t="str">
        <f>""</f>
        <v/>
      </c>
      <c r="H406" s="1" t="s">
        <v>172</v>
      </c>
      <c r="I406">
        <v>12</v>
      </c>
      <c r="J406">
        <v>120</v>
      </c>
      <c r="K406">
        <v>0</v>
      </c>
      <c r="L406">
        <f>J406/12</f>
        <v>10</v>
      </c>
    </row>
    <row r="407" spans="1:12">
      <c r="A407" t="s">
        <v>444</v>
      </c>
      <c r="B407" s="1">
        <v>9</v>
      </c>
      <c r="C407" s="1">
        <v>500</v>
      </c>
      <c r="D407" s="1">
        <v>30</v>
      </c>
      <c r="E407" s="1">
        <v>25</v>
      </c>
      <c r="F407" s="1" t="str">
        <f>""</f>
        <v/>
      </c>
      <c r="G407" s="1" t="str">
        <f>""</f>
        <v/>
      </c>
      <c r="H407" s="1" t="s">
        <v>172</v>
      </c>
      <c r="I407">
        <v>12</v>
      </c>
      <c r="J407">
        <v>0</v>
      </c>
      <c r="K407">
        <v>30</v>
      </c>
      <c r="L407">
        <f>K407/3</f>
        <v>10</v>
      </c>
    </row>
    <row r="408" spans="1:12">
      <c r="A408" t="s">
        <v>243</v>
      </c>
      <c r="B408" s="1">
        <v>13</v>
      </c>
      <c r="C408" s="1">
        <v>500</v>
      </c>
      <c r="D408" s="1">
        <v>80</v>
      </c>
      <c r="E408" s="1">
        <v>400</v>
      </c>
      <c r="F408" s="1" t="s">
        <v>453</v>
      </c>
      <c r="G408" s="1" t="s">
        <v>102</v>
      </c>
      <c r="H408" s="1" t="s">
        <v>312</v>
      </c>
      <c r="I408">
        <v>0</v>
      </c>
      <c r="J408">
        <v>0</v>
      </c>
      <c r="K408">
        <v>0</v>
      </c>
      <c r="L408">
        <v>0</v>
      </c>
    </row>
    <row r="409" spans="1:12">
      <c r="A409" t="s">
        <v>526</v>
      </c>
      <c r="B409" s="1">
        <v>12</v>
      </c>
      <c r="C409" s="1">
        <v>500</v>
      </c>
      <c r="D409" s="1">
        <v>50</v>
      </c>
      <c r="E409" s="1">
        <v>220</v>
      </c>
      <c r="F409" s="1" t="s">
        <v>833</v>
      </c>
      <c r="G409" s="1" t="s">
        <v>729</v>
      </c>
      <c r="H409" s="1"/>
      <c r="I409">
        <v>0</v>
      </c>
      <c r="J409">
        <v>0</v>
      </c>
      <c r="K409">
        <v>0</v>
      </c>
      <c r="L409">
        <v>0</v>
      </c>
    </row>
    <row r="410" spans="1:12">
      <c r="A410" t="s">
        <v>494</v>
      </c>
      <c r="B410" s="1">
        <v>11</v>
      </c>
      <c r="C410" s="1">
        <v>500</v>
      </c>
      <c r="D410" s="1">
        <v>120</v>
      </c>
      <c r="E410" s="1">
        <v>200</v>
      </c>
      <c r="F410" s="1" t="s">
        <v>480</v>
      </c>
      <c r="G410" s="1" t="s">
        <v>738</v>
      </c>
      <c r="H410" s="1" t="s">
        <v>640</v>
      </c>
      <c r="I410">
        <v>0</v>
      </c>
      <c r="J410">
        <v>0</v>
      </c>
      <c r="K410">
        <v>0</v>
      </c>
      <c r="L410">
        <v>0</v>
      </c>
    </row>
    <row r="411" spans="1:12">
      <c r="A411" t="s">
        <v>522</v>
      </c>
      <c r="B411" s="1">
        <v>14</v>
      </c>
      <c r="C411" s="1">
        <v>500</v>
      </c>
      <c r="D411" s="1">
        <v>90</v>
      </c>
      <c r="E411" s="1">
        <v>50</v>
      </c>
      <c r="F411" s="1" t="s">
        <v>756</v>
      </c>
      <c r="G411" s="1" t="s">
        <v>581</v>
      </c>
      <c r="H411" s="1" t="s">
        <v>272</v>
      </c>
      <c r="I411">
        <v>0</v>
      </c>
      <c r="J411">
        <v>0</v>
      </c>
      <c r="K411">
        <v>0</v>
      </c>
      <c r="L411">
        <v>0</v>
      </c>
    </row>
    <row r="412" spans="1:12">
      <c r="A412" t="s">
        <v>216</v>
      </c>
      <c r="B412" s="1">
        <v>11</v>
      </c>
      <c r="C412" s="1">
        <v>500</v>
      </c>
      <c r="D412" s="1">
        <v>250</v>
      </c>
      <c r="E412" s="1">
        <v>150</v>
      </c>
      <c r="F412" s="1" t="s">
        <v>123</v>
      </c>
      <c r="G412" s="1" t="s">
        <v>625</v>
      </c>
      <c r="H412" s="1" t="s">
        <v>640</v>
      </c>
      <c r="I412">
        <v>0</v>
      </c>
      <c r="J412">
        <v>0</v>
      </c>
      <c r="K412">
        <v>0</v>
      </c>
      <c r="L412">
        <v>0</v>
      </c>
    </row>
    <row r="413" spans="1:12">
      <c r="A413" t="s">
        <v>268</v>
      </c>
      <c r="B413" s="1">
        <v>16</v>
      </c>
      <c r="C413" s="1">
        <v>500</v>
      </c>
      <c r="D413" s="1">
        <v>90</v>
      </c>
      <c r="E413" s="1">
        <v>270</v>
      </c>
      <c r="F413" s="1" t="s">
        <v>343</v>
      </c>
      <c r="G413" s="1" t="s">
        <v>476</v>
      </c>
      <c r="H413" s="1"/>
      <c r="I413">
        <v>0</v>
      </c>
      <c r="J413">
        <v>0</v>
      </c>
      <c r="K413">
        <v>0</v>
      </c>
      <c r="L413">
        <v>0</v>
      </c>
    </row>
    <row r="414" spans="1:12">
      <c r="B414" s="1"/>
      <c r="C414" s="1"/>
      <c r="D414" s="1"/>
      <c r="E414" s="1"/>
      <c r="F414" s="1"/>
      <c r="G414" s="1"/>
      <c r="H414" s="1"/>
    </row>
    <row r="415" spans="1:12">
      <c r="A415" s="61" t="s">
        <v>887</v>
      </c>
      <c r="B415" s="1" t="s">
        <v>696</v>
      </c>
      <c r="C415" s="1" t="s">
        <v>400</v>
      </c>
      <c r="D415" s="1" t="s">
        <v>673</v>
      </c>
      <c r="E415" s="1" t="s">
        <v>765</v>
      </c>
      <c r="F415" s="1" t="s">
        <v>421</v>
      </c>
      <c r="G415" s="1" t="s">
        <v>766</v>
      </c>
      <c r="H415" s="1" t="s">
        <v>402</v>
      </c>
      <c r="I415" s="1" t="s">
        <v>556</v>
      </c>
      <c r="J415" s="1" t="s">
        <v>309</v>
      </c>
      <c r="K415" s="1" t="s">
        <v>657</v>
      </c>
      <c r="L415" s="1" t="s">
        <v>332</v>
      </c>
    </row>
    <row r="416" spans="1:12">
      <c r="A416" t="s">
        <v>695</v>
      </c>
      <c r="B416" s="1">
        <v>0</v>
      </c>
      <c r="C416" s="1">
        <v>0</v>
      </c>
      <c r="D416" s="1">
        <v>0</v>
      </c>
      <c r="E416" s="1">
        <v>0</v>
      </c>
      <c r="F416" s="1"/>
      <c r="G416" s="1"/>
      <c r="H416" s="1"/>
      <c r="I416">
        <v>0</v>
      </c>
      <c r="J416">
        <v>0</v>
      </c>
      <c r="K416">
        <v>0</v>
      </c>
      <c r="L416">
        <v>0</v>
      </c>
    </row>
    <row r="417" spans="1:12">
      <c r="A417" t="s">
        <v>511</v>
      </c>
      <c r="B417" s="1">
        <v>8</v>
      </c>
      <c r="C417" s="1">
        <v>100</v>
      </c>
      <c r="D417" s="1">
        <v>70</v>
      </c>
      <c r="E417" s="1">
        <v>25</v>
      </c>
      <c r="F417" s="1" t="s">
        <v>739</v>
      </c>
      <c r="G417" s="1" t="s">
        <v>579</v>
      </c>
      <c r="H417" s="1"/>
      <c r="I417">
        <v>12</v>
      </c>
      <c r="J417">
        <v>0</v>
      </c>
      <c r="K417">
        <v>0</v>
      </c>
      <c r="L417">
        <v>4</v>
      </c>
    </row>
    <row r="418" spans="1:12">
      <c r="A418" t="s">
        <v>59</v>
      </c>
      <c r="B418" s="1">
        <v>12</v>
      </c>
      <c r="C418" s="1">
        <v>100</v>
      </c>
      <c r="D418" s="1">
        <v>60</v>
      </c>
      <c r="E418" s="1">
        <v>15</v>
      </c>
      <c r="F418" s="1" t="s">
        <v>739</v>
      </c>
      <c r="G418" s="1" t="s">
        <v>580</v>
      </c>
      <c r="H418" s="1" t="s">
        <v>507</v>
      </c>
      <c r="I418">
        <v>12</v>
      </c>
      <c r="J418">
        <v>0</v>
      </c>
      <c r="K418">
        <v>0</v>
      </c>
      <c r="L418">
        <v>2</v>
      </c>
    </row>
    <row r="419" spans="1:12">
      <c r="A419" t="s">
        <v>514</v>
      </c>
      <c r="B419" s="1">
        <v>7</v>
      </c>
      <c r="C419" s="1">
        <v>100</v>
      </c>
      <c r="D419" s="1">
        <v>25</v>
      </c>
      <c r="E419" s="1">
        <v>10</v>
      </c>
      <c r="F419" s="1" t="str">
        <f>""</f>
        <v/>
      </c>
      <c r="G419" s="1" t="str">
        <f>""</f>
        <v/>
      </c>
      <c r="H419" s="1" t="s">
        <v>172</v>
      </c>
      <c r="I419">
        <v>12</v>
      </c>
      <c r="J419">
        <v>24</v>
      </c>
      <c r="K419">
        <v>0</v>
      </c>
      <c r="L419">
        <f>J419/12</f>
        <v>2</v>
      </c>
    </row>
    <row r="420" spans="1:12">
      <c r="A420" t="s">
        <v>444</v>
      </c>
      <c r="B420" s="1">
        <v>9</v>
      </c>
      <c r="C420" s="1">
        <v>100</v>
      </c>
      <c r="D420" s="1">
        <v>6</v>
      </c>
      <c r="E420" s="1">
        <v>5</v>
      </c>
      <c r="F420" s="1" t="str">
        <f>""</f>
        <v/>
      </c>
      <c r="G420" s="1" t="str">
        <f>""</f>
        <v/>
      </c>
      <c r="H420" s="1" t="s">
        <v>172</v>
      </c>
      <c r="I420">
        <v>12</v>
      </c>
      <c r="J420">
        <v>0</v>
      </c>
      <c r="K420">
        <v>6</v>
      </c>
      <c r="L420">
        <f>K420/3</f>
        <v>2</v>
      </c>
    </row>
    <row r="421" spans="1:12">
      <c r="A421" t="s">
        <v>243</v>
      </c>
      <c r="B421" s="1">
        <v>13</v>
      </c>
      <c r="C421" s="1">
        <v>100</v>
      </c>
      <c r="D421" s="1">
        <v>30</v>
      </c>
      <c r="E421" s="1">
        <v>90</v>
      </c>
      <c r="F421" s="1" t="s">
        <v>453</v>
      </c>
      <c r="G421" s="1" t="s">
        <v>102</v>
      </c>
      <c r="H421" s="1" t="s">
        <v>312</v>
      </c>
      <c r="I421">
        <v>0</v>
      </c>
      <c r="J421">
        <v>0</v>
      </c>
      <c r="K421">
        <v>0</v>
      </c>
      <c r="L421">
        <v>0</v>
      </c>
    </row>
    <row r="422" spans="1:12">
      <c r="A422" t="s">
        <v>526</v>
      </c>
      <c r="B422" s="1">
        <v>12</v>
      </c>
      <c r="C422" s="1">
        <v>100</v>
      </c>
      <c r="D422" s="1">
        <v>16</v>
      </c>
      <c r="E422" s="1">
        <v>80</v>
      </c>
      <c r="F422" s="1" t="s">
        <v>833</v>
      </c>
      <c r="G422" s="1" t="s">
        <v>579</v>
      </c>
      <c r="H422" s="1"/>
      <c r="I422">
        <v>0</v>
      </c>
      <c r="J422">
        <v>0</v>
      </c>
      <c r="K422">
        <v>0</v>
      </c>
      <c r="L422">
        <v>0</v>
      </c>
    </row>
    <row r="423" spans="1:12">
      <c r="A423" t="s">
        <v>494</v>
      </c>
      <c r="B423" s="1">
        <v>11</v>
      </c>
      <c r="C423" s="1">
        <v>100</v>
      </c>
      <c r="D423" s="1">
        <v>40</v>
      </c>
      <c r="E423" s="1">
        <v>45</v>
      </c>
      <c r="F423" s="1" t="s">
        <v>480</v>
      </c>
      <c r="G423" s="1" t="s">
        <v>519</v>
      </c>
      <c r="H423" s="1" t="s">
        <v>640</v>
      </c>
      <c r="I423">
        <v>0</v>
      </c>
      <c r="J423">
        <v>0</v>
      </c>
      <c r="K423">
        <v>0</v>
      </c>
      <c r="L423">
        <v>0</v>
      </c>
    </row>
    <row r="424" spans="1:12">
      <c r="A424" t="s">
        <v>522</v>
      </c>
      <c r="B424" s="1">
        <v>14</v>
      </c>
      <c r="C424" s="1">
        <v>100</v>
      </c>
      <c r="D424" s="1">
        <v>30</v>
      </c>
      <c r="E424" s="1">
        <v>15</v>
      </c>
      <c r="F424" s="1" t="s">
        <v>756</v>
      </c>
      <c r="G424" s="1" t="s">
        <v>581</v>
      </c>
      <c r="H424" s="1" t="s">
        <v>272</v>
      </c>
      <c r="I424">
        <v>0</v>
      </c>
      <c r="J424">
        <v>0</v>
      </c>
      <c r="K424">
        <v>0</v>
      </c>
      <c r="L424">
        <v>0</v>
      </c>
    </row>
    <row r="425" spans="1:12">
      <c r="A425" t="s">
        <v>269</v>
      </c>
      <c r="B425" s="1">
        <v>11</v>
      </c>
      <c r="C425" s="1">
        <v>100</v>
      </c>
      <c r="D425" s="1">
        <v>100</v>
      </c>
      <c r="E425" s="1">
        <v>30</v>
      </c>
      <c r="F425" s="1" t="s">
        <v>756</v>
      </c>
      <c r="G425" s="1" t="s">
        <v>625</v>
      </c>
      <c r="H425" s="1" t="s">
        <v>640</v>
      </c>
      <c r="I425">
        <v>0</v>
      </c>
      <c r="J425">
        <v>0</v>
      </c>
      <c r="K425">
        <v>0</v>
      </c>
      <c r="L425">
        <v>0</v>
      </c>
    </row>
    <row r="426" spans="1:12">
      <c r="A426" t="s">
        <v>268</v>
      </c>
      <c r="B426" s="1">
        <v>16</v>
      </c>
      <c r="C426" s="1">
        <v>100</v>
      </c>
      <c r="D426" s="1">
        <v>30</v>
      </c>
      <c r="E426" s="1">
        <v>90</v>
      </c>
      <c r="F426" s="1" t="s">
        <v>343</v>
      </c>
      <c r="G426" s="1" t="s">
        <v>476</v>
      </c>
      <c r="H426" s="1"/>
      <c r="I426">
        <v>0</v>
      </c>
      <c r="J426">
        <v>0</v>
      </c>
      <c r="K426">
        <v>0</v>
      </c>
      <c r="L426">
        <v>0</v>
      </c>
    </row>
    <row r="427" spans="1:12">
      <c r="A427" t="s">
        <v>595</v>
      </c>
      <c r="B427" s="1">
        <v>12</v>
      </c>
      <c r="C427" s="1">
        <v>100</v>
      </c>
      <c r="D427" s="1">
        <v>25</v>
      </c>
      <c r="E427" s="1">
        <v>30</v>
      </c>
      <c r="F427" s="1" t="s">
        <v>833</v>
      </c>
      <c r="G427" s="1" t="s">
        <v>80</v>
      </c>
      <c r="H427" s="1" t="s">
        <v>595</v>
      </c>
      <c r="I427">
        <v>0</v>
      </c>
      <c r="J427">
        <v>0</v>
      </c>
      <c r="K427">
        <v>0</v>
      </c>
      <c r="L427">
        <v>0</v>
      </c>
    </row>
    <row r="428" spans="1:12">
      <c r="B428" s="1"/>
      <c r="C428" s="1"/>
      <c r="D428" s="1"/>
      <c r="E428" s="1"/>
      <c r="F428" s="1"/>
      <c r="G428" s="1"/>
      <c r="H428" s="1"/>
    </row>
    <row r="429" spans="1:12">
      <c r="A429" s="61" t="s">
        <v>544</v>
      </c>
      <c r="B429" s="1" t="s">
        <v>696</v>
      </c>
      <c r="C429" s="1" t="s">
        <v>400</v>
      </c>
      <c r="D429" s="1" t="s">
        <v>673</v>
      </c>
      <c r="E429" s="1" t="s">
        <v>765</v>
      </c>
      <c r="F429" s="1" t="s">
        <v>421</v>
      </c>
      <c r="G429" s="1" t="s">
        <v>766</v>
      </c>
      <c r="H429" s="1" t="s">
        <v>402</v>
      </c>
      <c r="I429" s="1" t="s">
        <v>556</v>
      </c>
      <c r="J429" s="1" t="s">
        <v>309</v>
      </c>
      <c r="K429" s="1" t="s">
        <v>657</v>
      </c>
      <c r="L429" s="1" t="s">
        <v>332</v>
      </c>
    </row>
    <row r="430" spans="1:12">
      <c r="A430" t="s">
        <v>695</v>
      </c>
      <c r="B430" s="1">
        <v>0</v>
      </c>
      <c r="C430" s="1">
        <v>0</v>
      </c>
      <c r="D430" s="1">
        <v>0</v>
      </c>
      <c r="E430" s="1">
        <v>0</v>
      </c>
      <c r="F430" s="1"/>
      <c r="G430" s="1"/>
      <c r="H430" s="1"/>
      <c r="I430">
        <v>0</v>
      </c>
      <c r="J430">
        <v>0</v>
      </c>
      <c r="K430">
        <v>0</v>
      </c>
      <c r="L430">
        <v>0</v>
      </c>
    </row>
    <row r="431" spans="1:12">
      <c r="A431" t="s">
        <v>511</v>
      </c>
      <c r="B431" s="1">
        <v>8</v>
      </c>
      <c r="C431" s="1">
        <v>50</v>
      </c>
      <c r="D431" s="1">
        <v>40</v>
      </c>
      <c r="E431" s="1">
        <v>15</v>
      </c>
      <c r="F431" s="1" t="s">
        <v>739</v>
      </c>
      <c r="G431" s="1" t="s">
        <v>229</v>
      </c>
      <c r="H431" s="1"/>
      <c r="I431">
        <v>12</v>
      </c>
      <c r="J431">
        <v>0</v>
      </c>
      <c r="K431">
        <v>0</v>
      </c>
      <c r="L431">
        <v>2</v>
      </c>
    </row>
    <row r="432" spans="1:12">
      <c r="A432" t="s">
        <v>59</v>
      </c>
      <c r="B432" s="1">
        <v>12</v>
      </c>
      <c r="C432" s="1">
        <v>50</v>
      </c>
      <c r="D432" s="1">
        <v>30</v>
      </c>
      <c r="E432" s="1">
        <v>10</v>
      </c>
      <c r="F432" s="1" t="s">
        <v>739</v>
      </c>
      <c r="G432" s="1" t="s">
        <v>489</v>
      </c>
      <c r="H432" s="1" t="s">
        <v>330</v>
      </c>
      <c r="I432">
        <v>12</v>
      </c>
      <c r="J432">
        <v>0</v>
      </c>
      <c r="K432">
        <v>0</v>
      </c>
      <c r="L432">
        <v>1</v>
      </c>
    </row>
    <row r="433" spans="1:12">
      <c r="A433" t="s">
        <v>514</v>
      </c>
      <c r="B433" s="1">
        <v>7</v>
      </c>
      <c r="C433" s="1">
        <v>50</v>
      </c>
      <c r="D433" s="1">
        <v>12</v>
      </c>
      <c r="E433" s="1">
        <v>5</v>
      </c>
      <c r="F433" s="1" t="str">
        <f>""</f>
        <v/>
      </c>
      <c r="G433" s="1" t="str">
        <f>""</f>
        <v/>
      </c>
      <c r="H433" s="1" t="s">
        <v>172</v>
      </c>
      <c r="I433">
        <v>12</v>
      </c>
      <c r="J433">
        <v>12</v>
      </c>
      <c r="K433">
        <v>0</v>
      </c>
      <c r="L433">
        <f>J433/12</f>
        <v>1</v>
      </c>
    </row>
    <row r="434" spans="1:12">
      <c r="A434" t="s">
        <v>444</v>
      </c>
      <c r="B434" s="1">
        <v>9</v>
      </c>
      <c r="C434" s="1">
        <v>50</v>
      </c>
      <c r="D434" s="1">
        <v>3</v>
      </c>
      <c r="E434" s="1">
        <v>2</v>
      </c>
      <c r="F434" s="1" t="str">
        <f>""</f>
        <v/>
      </c>
      <c r="G434" s="1" t="str">
        <f>""</f>
        <v/>
      </c>
      <c r="H434" s="1" t="s">
        <v>172</v>
      </c>
      <c r="I434">
        <v>12</v>
      </c>
      <c r="J434">
        <v>0</v>
      </c>
      <c r="K434">
        <v>3</v>
      </c>
      <c r="L434">
        <f>K434/3</f>
        <v>1</v>
      </c>
    </row>
    <row r="435" spans="1:12">
      <c r="A435" t="s">
        <v>243</v>
      </c>
      <c r="B435" s="1">
        <v>13</v>
      </c>
      <c r="C435" s="1">
        <v>50</v>
      </c>
      <c r="D435" s="1">
        <v>15</v>
      </c>
      <c r="E435" s="1">
        <v>60</v>
      </c>
      <c r="F435" s="1" t="s">
        <v>453</v>
      </c>
      <c r="G435" s="1" t="s">
        <v>769</v>
      </c>
      <c r="H435" s="1" t="s">
        <v>60</v>
      </c>
      <c r="I435">
        <v>0</v>
      </c>
      <c r="J435">
        <v>0</v>
      </c>
      <c r="K435">
        <v>0</v>
      </c>
      <c r="L435">
        <v>0</v>
      </c>
    </row>
    <row r="436" spans="1:12">
      <c r="A436" t="s">
        <v>526</v>
      </c>
      <c r="B436" s="1">
        <v>12</v>
      </c>
      <c r="C436" s="1">
        <v>50</v>
      </c>
      <c r="D436" s="1">
        <v>8</v>
      </c>
      <c r="E436" s="1">
        <v>50</v>
      </c>
      <c r="F436" s="1" t="s">
        <v>833</v>
      </c>
      <c r="G436" s="1" t="s">
        <v>229</v>
      </c>
      <c r="H436" s="1"/>
      <c r="I436">
        <v>0</v>
      </c>
      <c r="J436">
        <v>0</v>
      </c>
      <c r="K436">
        <v>0</v>
      </c>
      <c r="L436">
        <v>0</v>
      </c>
    </row>
    <row r="437" spans="1:12">
      <c r="A437" t="s">
        <v>494</v>
      </c>
      <c r="B437" s="1">
        <v>11</v>
      </c>
      <c r="C437" s="1">
        <v>50</v>
      </c>
      <c r="D437" s="1">
        <v>20</v>
      </c>
      <c r="E437" s="1">
        <v>30</v>
      </c>
      <c r="F437" s="1" t="s">
        <v>480</v>
      </c>
      <c r="G437" s="1" t="s">
        <v>621</v>
      </c>
      <c r="H437" s="1" t="s">
        <v>640</v>
      </c>
      <c r="I437">
        <v>0</v>
      </c>
      <c r="J437">
        <v>0</v>
      </c>
      <c r="K437">
        <v>0</v>
      </c>
      <c r="L437">
        <v>0</v>
      </c>
    </row>
    <row r="438" spans="1:12">
      <c r="A438" t="s">
        <v>522</v>
      </c>
      <c r="B438" s="1">
        <v>14</v>
      </c>
      <c r="C438" s="1">
        <v>50</v>
      </c>
      <c r="D438" s="1">
        <v>15</v>
      </c>
      <c r="E438" s="1">
        <v>10</v>
      </c>
      <c r="F438" s="1" t="s">
        <v>756</v>
      </c>
      <c r="G438" s="1" t="s">
        <v>580</v>
      </c>
      <c r="H438" s="1" t="s">
        <v>472</v>
      </c>
      <c r="I438">
        <v>0</v>
      </c>
      <c r="J438">
        <v>0</v>
      </c>
      <c r="K438">
        <v>0</v>
      </c>
      <c r="L438">
        <v>0</v>
      </c>
    </row>
    <row r="439" spans="1:12">
      <c r="A439" t="s">
        <v>877</v>
      </c>
      <c r="B439" s="1">
        <v>10</v>
      </c>
      <c r="C439" s="1">
        <v>50</v>
      </c>
      <c r="D439" s="1">
        <v>25</v>
      </c>
      <c r="E439" s="1">
        <v>35</v>
      </c>
      <c r="F439" s="1" t="s">
        <v>663</v>
      </c>
      <c r="G439" s="1" t="s">
        <v>491</v>
      </c>
      <c r="H439" s="1" t="s">
        <v>493</v>
      </c>
      <c r="I439">
        <v>0</v>
      </c>
      <c r="J439">
        <v>0</v>
      </c>
      <c r="K439">
        <v>0</v>
      </c>
      <c r="L439">
        <v>0</v>
      </c>
    </row>
    <row r="440" spans="1:12">
      <c r="A440" t="s">
        <v>662</v>
      </c>
      <c r="B440" s="1">
        <v>10</v>
      </c>
      <c r="C440" s="1">
        <v>50</v>
      </c>
      <c r="D440" s="1">
        <v>16</v>
      </c>
      <c r="E440" s="1">
        <v>5</v>
      </c>
      <c r="F440" s="1" t="s">
        <v>490</v>
      </c>
      <c r="G440" s="1" t="s">
        <v>492</v>
      </c>
      <c r="H440" s="1" t="s">
        <v>493</v>
      </c>
      <c r="I440">
        <v>12</v>
      </c>
      <c r="J440">
        <v>12</v>
      </c>
      <c r="K440">
        <v>0</v>
      </c>
      <c r="L440">
        <v>0</v>
      </c>
    </row>
    <row r="441" spans="1:12">
      <c r="A441" t="s">
        <v>48</v>
      </c>
      <c r="B441" s="1">
        <v>11</v>
      </c>
      <c r="C441" s="1">
        <v>50</v>
      </c>
      <c r="D441" s="1">
        <v>50</v>
      </c>
      <c r="E441" s="1">
        <v>20</v>
      </c>
      <c r="F441" s="1" t="s">
        <v>756</v>
      </c>
      <c r="G441" s="1" t="s">
        <v>738</v>
      </c>
      <c r="H441" s="1" t="s">
        <v>640</v>
      </c>
      <c r="I441">
        <v>0</v>
      </c>
      <c r="J441">
        <v>0</v>
      </c>
      <c r="K441">
        <v>0</v>
      </c>
      <c r="L441">
        <v>0</v>
      </c>
    </row>
    <row r="442" spans="1:12">
      <c r="A442" t="s">
        <v>268</v>
      </c>
      <c r="B442" s="1">
        <v>16</v>
      </c>
      <c r="C442" s="1">
        <v>50</v>
      </c>
      <c r="D442" s="1">
        <v>14</v>
      </c>
      <c r="E442" s="1">
        <v>60</v>
      </c>
      <c r="F442" s="1" t="s">
        <v>343</v>
      </c>
      <c r="G442" s="1" t="s">
        <v>476</v>
      </c>
      <c r="H442" s="1"/>
      <c r="I442">
        <v>0</v>
      </c>
      <c r="J442">
        <v>0</v>
      </c>
      <c r="K442">
        <v>0</v>
      </c>
      <c r="L442">
        <v>0</v>
      </c>
    </row>
    <row r="443" spans="1:12">
      <c r="A443" t="s">
        <v>595</v>
      </c>
      <c r="B443" s="1">
        <v>12</v>
      </c>
      <c r="C443" s="1">
        <v>50</v>
      </c>
      <c r="D443" s="1">
        <v>15</v>
      </c>
      <c r="E443" s="1">
        <v>20</v>
      </c>
      <c r="F443" s="1" t="s">
        <v>833</v>
      </c>
      <c r="G443" s="1" t="s">
        <v>622</v>
      </c>
      <c r="H443" s="1" t="s">
        <v>595</v>
      </c>
      <c r="I443">
        <v>0</v>
      </c>
      <c r="J443">
        <v>0</v>
      </c>
      <c r="K443">
        <v>0</v>
      </c>
      <c r="L443">
        <v>0</v>
      </c>
    </row>
    <row r="445" spans="1:12">
      <c r="A445" s="61" t="s">
        <v>717</v>
      </c>
      <c r="B445" s="1" t="s">
        <v>696</v>
      </c>
      <c r="C445" s="1" t="s">
        <v>400</v>
      </c>
      <c r="D445" s="1" t="s">
        <v>673</v>
      </c>
      <c r="E445" s="1" t="s">
        <v>765</v>
      </c>
      <c r="F445" s="1" t="s">
        <v>421</v>
      </c>
      <c r="G445" s="1" t="s">
        <v>766</v>
      </c>
      <c r="H445" s="1" t="s">
        <v>402</v>
      </c>
      <c r="I445" s="1" t="s">
        <v>556</v>
      </c>
      <c r="J445" s="1" t="s">
        <v>309</v>
      </c>
      <c r="K445" s="1" t="s">
        <v>657</v>
      </c>
      <c r="L445" s="1" t="s">
        <v>332</v>
      </c>
    </row>
    <row r="446" spans="1:12">
      <c r="A446" t="s">
        <v>695</v>
      </c>
      <c r="B446" s="1">
        <v>0</v>
      </c>
      <c r="C446" s="1">
        <v>0</v>
      </c>
      <c r="D446" s="1">
        <v>0</v>
      </c>
      <c r="E446" s="1">
        <v>0</v>
      </c>
      <c r="F446" s="1"/>
      <c r="G446" s="1"/>
      <c r="H446" s="1"/>
      <c r="I446">
        <v>0</v>
      </c>
      <c r="J446">
        <v>0</v>
      </c>
      <c r="K446">
        <v>0</v>
      </c>
      <c r="L446">
        <f>J446/12</f>
        <v>0</v>
      </c>
    </row>
    <row r="447" spans="1:12">
      <c r="A447" t="s">
        <v>686</v>
      </c>
      <c r="B447" s="1">
        <v>8</v>
      </c>
      <c r="C447" s="1">
        <v>5</v>
      </c>
      <c r="D447" s="1">
        <v>2</v>
      </c>
      <c r="E447" s="1">
        <v>2</v>
      </c>
      <c r="F447" s="1" t="str">
        <f>""</f>
        <v/>
      </c>
      <c r="G447" s="1" t="str">
        <f>""</f>
        <v/>
      </c>
      <c r="H447" s="1"/>
      <c r="I447">
        <v>0</v>
      </c>
      <c r="J447">
        <v>0</v>
      </c>
      <c r="K447">
        <v>0</v>
      </c>
      <c r="L447">
        <v>0</v>
      </c>
    </row>
    <row r="448" spans="1:12">
      <c r="A448" t="s">
        <v>514</v>
      </c>
      <c r="B448" s="1">
        <v>7</v>
      </c>
      <c r="C448" s="1">
        <v>5</v>
      </c>
      <c r="D448" s="1">
        <v>4</v>
      </c>
      <c r="E448" s="1">
        <v>0</v>
      </c>
      <c r="F448" s="1" t="str">
        <f>""</f>
        <v/>
      </c>
      <c r="G448" s="1" t="str">
        <f>""</f>
        <v/>
      </c>
      <c r="H448" s="1" t="s">
        <v>172</v>
      </c>
      <c r="I448">
        <v>5</v>
      </c>
      <c r="J448">
        <v>5</v>
      </c>
      <c r="K448">
        <v>0</v>
      </c>
      <c r="L448">
        <f>J448/12</f>
        <v>0.41666666666666669</v>
      </c>
    </row>
    <row r="449" spans="1:12">
      <c r="A449" t="s">
        <v>444</v>
      </c>
      <c r="B449" s="1">
        <v>7</v>
      </c>
      <c r="C449" s="1">
        <v>5</v>
      </c>
      <c r="D449" s="1">
        <v>3</v>
      </c>
      <c r="E449" s="1">
        <v>2</v>
      </c>
      <c r="F449" s="1" t="str">
        <f>""</f>
        <v/>
      </c>
      <c r="G449" s="1" t="str">
        <f>""</f>
        <v/>
      </c>
      <c r="H449" s="1" t="s">
        <v>172</v>
      </c>
      <c r="I449">
        <v>3</v>
      </c>
      <c r="J449">
        <v>0</v>
      </c>
      <c r="K449">
        <v>1</v>
      </c>
      <c r="L449">
        <f>K449/3</f>
        <v>0.33333333333333331</v>
      </c>
    </row>
    <row r="450" spans="1:12">
      <c r="A450" t="s">
        <v>538</v>
      </c>
      <c r="B450" s="1">
        <v>11</v>
      </c>
      <c r="C450" s="1">
        <v>5</v>
      </c>
      <c r="D450" s="1">
        <v>5</v>
      </c>
      <c r="E450" s="1">
        <v>12</v>
      </c>
      <c r="F450" s="1" t="s">
        <v>833</v>
      </c>
      <c r="G450" s="1" t="s">
        <v>321</v>
      </c>
      <c r="H450" s="1"/>
      <c r="I450">
        <v>0</v>
      </c>
      <c r="J450">
        <v>0</v>
      </c>
      <c r="K450">
        <v>0</v>
      </c>
      <c r="L450">
        <f t="shared" ref="L450" si="4">J450/12</f>
        <v>0</v>
      </c>
    </row>
    <row r="451" spans="1:12">
      <c r="A451" t="s">
        <v>243</v>
      </c>
      <c r="B451" s="1">
        <v>13</v>
      </c>
      <c r="C451" s="1">
        <v>5</v>
      </c>
      <c r="D451" s="1">
        <v>6</v>
      </c>
      <c r="E451" s="1">
        <v>20</v>
      </c>
      <c r="F451" s="1" t="s">
        <v>453</v>
      </c>
      <c r="G451" s="1" t="s">
        <v>516</v>
      </c>
      <c r="H451" s="1" t="s">
        <v>335</v>
      </c>
      <c r="I451">
        <v>0</v>
      </c>
      <c r="J451">
        <v>0</v>
      </c>
      <c r="K451">
        <v>0</v>
      </c>
      <c r="L451">
        <f t="shared" ref="L451" si="5">K451/3</f>
        <v>0</v>
      </c>
    </row>
    <row r="452" spans="1:12">
      <c r="A452" t="s">
        <v>526</v>
      </c>
      <c r="B452" s="1">
        <v>12</v>
      </c>
      <c r="C452" s="1">
        <v>5</v>
      </c>
      <c r="D452" s="1">
        <v>4</v>
      </c>
      <c r="E452" s="1">
        <v>20</v>
      </c>
      <c r="F452" s="1" t="s">
        <v>833</v>
      </c>
      <c r="G452" s="1" t="s">
        <v>422</v>
      </c>
      <c r="H452" s="1" t="s">
        <v>640</v>
      </c>
      <c r="I452">
        <v>0</v>
      </c>
      <c r="J452">
        <v>0</v>
      </c>
      <c r="K452">
        <v>0</v>
      </c>
      <c r="L452">
        <f t="shared" ref="L452" si="6">J452/12</f>
        <v>0</v>
      </c>
    </row>
    <row r="453" spans="1:12">
      <c r="A453" t="s">
        <v>494</v>
      </c>
      <c r="B453" s="1">
        <v>11</v>
      </c>
      <c r="C453" s="1">
        <v>5</v>
      </c>
      <c r="D453" s="1">
        <v>8</v>
      </c>
      <c r="E453" s="1">
        <v>15</v>
      </c>
      <c r="F453" s="1" t="s">
        <v>480</v>
      </c>
      <c r="G453" s="1" t="s">
        <v>321</v>
      </c>
      <c r="H453" s="1" t="s">
        <v>640</v>
      </c>
      <c r="I453">
        <v>0</v>
      </c>
      <c r="J453">
        <v>0</v>
      </c>
      <c r="K453">
        <v>0</v>
      </c>
      <c r="L453">
        <f t="shared" ref="L453" si="7">K453/3</f>
        <v>0</v>
      </c>
    </row>
    <row r="454" spans="1:12">
      <c r="A454" t="s">
        <v>522</v>
      </c>
      <c r="B454" s="1">
        <v>14</v>
      </c>
      <c r="C454" s="1">
        <v>5</v>
      </c>
      <c r="D454" s="1">
        <v>5</v>
      </c>
      <c r="E454" s="1">
        <v>6</v>
      </c>
      <c r="F454" s="1" t="s">
        <v>756</v>
      </c>
      <c r="G454" s="1" t="s">
        <v>564</v>
      </c>
      <c r="H454" s="1" t="s">
        <v>472</v>
      </c>
      <c r="I454">
        <v>0</v>
      </c>
      <c r="J454">
        <v>0</v>
      </c>
      <c r="K454">
        <v>0</v>
      </c>
      <c r="L454">
        <f t="shared" ref="L454" si="8">J454/12</f>
        <v>0</v>
      </c>
    </row>
    <row r="455" spans="1:12">
      <c r="A455" t="s">
        <v>595</v>
      </c>
      <c r="B455" s="1">
        <v>12</v>
      </c>
      <c r="C455" s="1">
        <v>5</v>
      </c>
      <c r="D455" s="1">
        <v>6</v>
      </c>
      <c r="E455" s="1">
        <v>10</v>
      </c>
      <c r="F455" s="1" t="s">
        <v>833</v>
      </c>
      <c r="G455" s="1" t="s">
        <v>325</v>
      </c>
      <c r="H455" s="1" t="s">
        <v>595</v>
      </c>
      <c r="I455">
        <v>0</v>
      </c>
      <c r="J455">
        <v>0</v>
      </c>
      <c r="K455">
        <v>0</v>
      </c>
      <c r="L455">
        <f t="shared" ref="L455" si="9">K455/3</f>
        <v>0</v>
      </c>
    </row>
    <row r="456" spans="1:12">
      <c r="A456" t="s">
        <v>529</v>
      </c>
      <c r="B456" s="1">
        <v>13</v>
      </c>
      <c r="C456" s="1">
        <v>5</v>
      </c>
      <c r="D456" s="1">
        <v>4</v>
      </c>
      <c r="E456" s="1">
        <v>10</v>
      </c>
      <c r="F456" s="1" t="s">
        <v>739</v>
      </c>
      <c r="G456" s="1" t="str">
        <f>""</f>
        <v/>
      </c>
      <c r="H456" s="1"/>
      <c r="I456">
        <v>0</v>
      </c>
      <c r="J456">
        <v>0</v>
      </c>
      <c r="K456">
        <v>0</v>
      </c>
      <c r="L456">
        <f t="shared" ref="L456" si="10">J456/12</f>
        <v>0</v>
      </c>
    </row>
    <row r="458" spans="1:12">
      <c r="A458" s="61" t="s">
        <v>248</v>
      </c>
      <c r="B458" s="1" t="s">
        <v>696</v>
      </c>
      <c r="C458" s="1" t="s">
        <v>400</v>
      </c>
      <c r="D458" s="1" t="s">
        <v>673</v>
      </c>
      <c r="E458" s="1" t="s">
        <v>765</v>
      </c>
      <c r="F458" s="1" t="s">
        <v>421</v>
      </c>
      <c r="G458" s="1" t="s">
        <v>766</v>
      </c>
      <c r="H458" s="1" t="s">
        <v>402</v>
      </c>
      <c r="I458" s="1" t="s">
        <v>556</v>
      </c>
      <c r="J458" s="1" t="s">
        <v>309</v>
      </c>
      <c r="K458" s="1" t="s">
        <v>657</v>
      </c>
      <c r="L458" s="1" t="s">
        <v>332</v>
      </c>
    </row>
    <row r="459" spans="1:12">
      <c r="A459" t="s">
        <v>695</v>
      </c>
      <c r="B459" s="1">
        <v>0</v>
      </c>
      <c r="C459" s="1"/>
      <c r="D459" s="1">
        <v>0</v>
      </c>
      <c r="E459" s="1">
        <v>0</v>
      </c>
      <c r="F459" s="1"/>
      <c r="G459" s="1"/>
      <c r="H459" s="1"/>
      <c r="I459">
        <v>0</v>
      </c>
      <c r="J459">
        <v>0</v>
      </c>
      <c r="K459">
        <v>0</v>
      </c>
      <c r="L459">
        <v>0</v>
      </c>
    </row>
    <row r="460" spans="1:12">
      <c r="A460" t="s">
        <v>754</v>
      </c>
      <c r="B460" s="1">
        <v>9</v>
      </c>
      <c r="C460" s="1"/>
      <c r="D460" s="1">
        <v>0.25</v>
      </c>
      <c r="E460" s="1">
        <v>0</v>
      </c>
      <c r="F460" s="1"/>
      <c r="G460" s="1"/>
      <c r="H460" s="1"/>
      <c r="I460">
        <v>12</v>
      </c>
      <c r="J460">
        <v>0</v>
      </c>
      <c r="K460">
        <v>0</v>
      </c>
      <c r="L460">
        <f>1/20</f>
        <v>0.05</v>
      </c>
    </row>
    <row r="461" spans="1:12">
      <c r="A461" t="s">
        <v>514</v>
      </c>
      <c r="B461" s="1">
        <v>7</v>
      </c>
      <c r="C461" s="1"/>
      <c r="D461" s="1">
        <v>0.75</v>
      </c>
      <c r="E461" s="1">
        <v>0</v>
      </c>
      <c r="F461" s="1"/>
      <c r="G461" s="1"/>
      <c r="H461" s="1" t="s">
        <v>172</v>
      </c>
      <c r="I461">
        <v>12</v>
      </c>
      <c r="J461">
        <v>1</v>
      </c>
      <c r="K461">
        <v>0</v>
      </c>
      <c r="L461">
        <f>J461/12</f>
        <v>8.3333333333333329E-2</v>
      </c>
    </row>
    <row r="462" spans="1:12">
      <c r="A462" t="s">
        <v>755</v>
      </c>
      <c r="B462" s="1">
        <v>8</v>
      </c>
      <c r="C462" s="1"/>
      <c r="D462" s="1">
        <v>0.15</v>
      </c>
      <c r="E462" s="1">
        <v>4</v>
      </c>
      <c r="F462" s="1" t="s">
        <v>541</v>
      </c>
      <c r="G462" s="1">
        <v>4</v>
      </c>
      <c r="H462" s="1" t="s">
        <v>539</v>
      </c>
      <c r="I462">
        <v>0</v>
      </c>
      <c r="J462">
        <v>0</v>
      </c>
      <c r="K462">
        <v>0</v>
      </c>
      <c r="L462">
        <v>0</v>
      </c>
    </row>
    <row r="463" spans="1:12">
      <c r="A463" t="s">
        <v>837</v>
      </c>
      <c r="B463" s="1">
        <v>10</v>
      </c>
      <c r="C463" s="1"/>
      <c r="D463" s="1">
        <v>0.5</v>
      </c>
      <c r="E463" s="1">
        <v>4</v>
      </c>
      <c r="F463" s="1" t="s">
        <v>833</v>
      </c>
      <c r="G463" s="1">
        <v>1</v>
      </c>
      <c r="H463" s="1" t="s">
        <v>741</v>
      </c>
      <c r="I463">
        <v>0</v>
      </c>
      <c r="J463">
        <v>0</v>
      </c>
      <c r="K463">
        <v>0</v>
      </c>
      <c r="L463">
        <v>0</v>
      </c>
    </row>
    <row r="464" spans="1:12">
      <c r="A464" t="s">
        <v>830</v>
      </c>
      <c r="B464" s="1">
        <v>9</v>
      </c>
      <c r="C464" s="1"/>
      <c r="D464" s="1">
        <v>1</v>
      </c>
      <c r="E464" s="1">
        <v>4</v>
      </c>
      <c r="F464" s="1" t="s">
        <v>123</v>
      </c>
      <c r="G464" s="1">
        <v>2</v>
      </c>
      <c r="H464" s="1" t="s">
        <v>186</v>
      </c>
      <c r="I464">
        <v>0</v>
      </c>
      <c r="J464">
        <v>0</v>
      </c>
      <c r="K464">
        <v>0</v>
      </c>
      <c r="L464">
        <v>0</v>
      </c>
    </row>
    <row r="465" spans="1:12">
      <c r="A465" t="s">
        <v>64</v>
      </c>
      <c r="B465" s="1">
        <v>11</v>
      </c>
      <c r="C465" s="1"/>
      <c r="D465" s="1">
        <v>2.5</v>
      </c>
      <c r="E465" s="1">
        <v>6</v>
      </c>
      <c r="F465" s="1" t="s">
        <v>833</v>
      </c>
      <c r="G465" s="1">
        <v>3</v>
      </c>
      <c r="H465" s="1"/>
      <c r="I465">
        <v>0</v>
      </c>
      <c r="J465">
        <v>0</v>
      </c>
      <c r="K465">
        <v>0</v>
      </c>
      <c r="L465">
        <v>0</v>
      </c>
    </row>
    <row r="466" spans="1:12">
      <c r="A466" t="s">
        <v>243</v>
      </c>
      <c r="B466" s="1">
        <v>13</v>
      </c>
      <c r="C466" s="1"/>
      <c r="D466" s="1">
        <v>3</v>
      </c>
      <c r="E466" s="1">
        <v>10</v>
      </c>
      <c r="F466" s="1" t="s">
        <v>453</v>
      </c>
      <c r="G466" s="1">
        <v>2</v>
      </c>
      <c r="H466" s="1" t="s">
        <v>335</v>
      </c>
      <c r="I466">
        <v>0</v>
      </c>
      <c r="J466">
        <v>0</v>
      </c>
      <c r="K466">
        <v>0</v>
      </c>
      <c r="L466">
        <v>0</v>
      </c>
    </row>
    <row r="467" spans="1:12">
      <c r="A467" t="s">
        <v>585</v>
      </c>
      <c r="B467" s="1">
        <v>14</v>
      </c>
      <c r="C467" s="1"/>
      <c r="D467" s="1">
        <v>2</v>
      </c>
      <c r="E467" s="1">
        <v>12</v>
      </c>
      <c r="F467" s="1" t="s">
        <v>833</v>
      </c>
      <c r="G467" s="1">
        <v>4</v>
      </c>
      <c r="H467" s="1" t="s">
        <v>640</v>
      </c>
      <c r="I467">
        <v>0</v>
      </c>
      <c r="J467">
        <v>0</v>
      </c>
      <c r="K467">
        <v>0</v>
      </c>
      <c r="L467">
        <v>0</v>
      </c>
    </row>
    <row r="468" spans="1:12">
      <c r="A468" t="s">
        <v>512</v>
      </c>
      <c r="B468" s="1">
        <v>11</v>
      </c>
      <c r="C468" s="1"/>
      <c r="D468" s="1">
        <v>4</v>
      </c>
      <c r="E468" s="1">
        <v>8</v>
      </c>
      <c r="F468" s="1" t="s">
        <v>480</v>
      </c>
      <c r="G468" s="1">
        <v>3</v>
      </c>
      <c r="H468" s="1" t="s">
        <v>640</v>
      </c>
      <c r="I468">
        <v>0</v>
      </c>
      <c r="J468">
        <v>0</v>
      </c>
      <c r="K468">
        <v>0</v>
      </c>
      <c r="L468">
        <v>0</v>
      </c>
    </row>
    <row r="469" spans="1:12">
      <c r="B469" s="1"/>
      <c r="C469" s="1"/>
      <c r="D469" s="1"/>
      <c r="E469" s="1"/>
      <c r="F469" s="1"/>
      <c r="G469" s="1"/>
      <c r="H469" s="1"/>
    </row>
    <row r="470" spans="1:12">
      <c r="A470" t="s">
        <v>155</v>
      </c>
      <c r="B470" s="68" t="s">
        <v>397</v>
      </c>
      <c r="C470" s="1" t="s">
        <v>696</v>
      </c>
      <c r="D470" s="1" t="s">
        <v>400</v>
      </c>
      <c r="E470" s="1" t="s">
        <v>620</v>
      </c>
      <c r="F470" s="1" t="s">
        <v>244</v>
      </c>
      <c r="G470" s="1"/>
      <c r="H470" s="1"/>
      <c r="I470" s="1"/>
    </row>
    <row r="471" spans="1:12">
      <c r="A471" s="21">
        <v>0</v>
      </c>
      <c r="B471" t="s">
        <v>436</v>
      </c>
      <c r="C471" s="1">
        <v>0</v>
      </c>
      <c r="D471" s="1">
        <v>0</v>
      </c>
      <c r="E471" s="1">
        <v>0</v>
      </c>
      <c r="F471" s="1">
        <v>0</v>
      </c>
      <c r="G471" s="1"/>
      <c r="H471" s="1"/>
      <c r="I471" s="1"/>
    </row>
    <row r="472" spans="1:12">
      <c r="A472" s="21">
        <v>1</v>
      </c>
      <c r="B472" t="s">
        <v>432</v>
      </c>
      <c r="C472" s="1">
        <v>7</v>
      </c>
      <c r="D472" s="1">
        <v>1</v>
      </c>
      <c r="E472" s="1">
        <v>0.2</v>
      </c>
      <c r="F472" s="1">
        <v>1</v>
      </c>
      <c r="G472" s="1"/>
      <c r="H472" s="1"/>
      <c r="I472" s="1"/>
    </row>
    <row r="473" spans="1:12">
      <c r="A473" s="21">
        <v>2</v>
      </c>
      <c r="B473" t="s">
        <v>88</v>
      </c>
      <c r="C473" s="1">
        <v>8</v>
      </c>
      <c r="D473" s="1">
        <v>1</v>
      </c>
      <c r="E473" s="1">
        <v>0.5</v>
      </c>
      <c r="F473" s="1">
        <v>1</v>
      </c>
      <c r="G473" s="1"/>
      <c r="H473" s="1"/>
      <c r="I473" s="1"/>
    </row>
    <row r="474" spans="1:12">
      <c r="A474" s="21">
        <v>3</v>
      </c>
      <c r="B474" t="s">
        <v>337</v>
      </c>
      <c r="C474" s="1">
        <v>9</v>
      </c>
      <c r="D474" s="1">
        <v>1</v>
      </c>
      <c r="E474" s="1">
        <v>1</v>
      </c>
      <c r="F474" s="1">
        <v>1</v>
      </c>
      <c r="G474" s="1"/>
      <c r="H474" s="1"/>
      <c r="I474" s="1"/>
    </row>
    <row r="475" spans="1:12">
      <c r="A475" s="21">
        <v>4</v>
      </c>
      <c r="B475" t="s">
        <v>70</v>
      </c>
      <c r="C475" s="1">
        <v>12</v>
      </c>
      <c r="D475" s="1">
        <v>1</v>
      </c>
      <c r="E475" s="1">
        <v>2</v>
      </c>
      <c r="F475" s="1">
        <v>2</v>
      </c>
      <c r="G475" s="1"/>
      <c r="H475" s="1"/>
      <c r="I475" s="1"/>
    </row>
    <row r="476" spans="1:12">
      <c r="A476" s="21"/>
      <c r="C476" s="1"/>
      <c r="D476" s="1"/>
      <c r="E476" s="1"/>
      <c r="F476" s="1"/>
      <c r="G476" s="1"/>
      <c r="H476" s="1"/>
      <c r="I476" s="1"/>
    </row>
    <row r="477" spans="1:12">
      <c r="A477" s="112" t="s">
        <v>558</v>
      </c>
      <c r="C477" s="1" t="s">
        <v>696</v>
      </c>
      <c r="D477" s="1" t="s">
        <v>400</v>
      </c>
      <c r="E477" s="1" t="s">
        <v>620</v>
      </c>
      <c r="F477" s="1" t="s">
        <v>421</v>
      </c>
      <c r="G477" s="1" t="s">
        <v>766</v>
      </c>
      <c r="H477" s="1" t="s">
        <v>402</v>
      </c>
      <c r="I477" s="1"/>
    </row>
    <row r="478" spans="1:12">
      <c r="A478" s="21" t="s">
        <v>52</v>
      </c>
      <c r="B478" t="str">
        <f>""</f>
        <v/>
      </c>
      <c r="C478" s="1">
        <v>0</v>
      </c>
      <c r="D478" s="1">
        <v>0</v>
      </c>
      <c r="E478" s="1">
        <v>0</v>
      </c>
      <c r="F478" s="1">
        <v>0</v>
      </c>
      <c r="G478" s="1" t="str">
        <f>""</f>
        <v/>
      </c>
      <c r="H478" s="1" t="str">
        <f>""</f>
        <v/>
      </c>
      <c r="I478" s="1"/>
    </row>
    <row r="479" spans="1:12">
      <c r="A479" s="21" t="s">
        <v>363</v>
      </c>
      <c r="B479" t="s">
        <v>543</v>
      </c>
      <c r="C479" s="1">
        <v>13</v>
      </c>
      <c r="D479" s="1">
        <v>0.01</v>
      </c>
      <c r="E479" s="1">
        <v>6.5000000000000002E-2</v>
      </c>
      <c r="F479" s="1">
        <v>0.45</v>
      </c>
      <c r="G479" s="1" t="s">
        <v>543</v>
      </c>
      <c r="H479" s="1" t="str">
        <f>""</f>
        <v/>
      </c>
      <c r="I479" s="1"/>
    </row>
    <row r="480" spans="1:12">
      <c r="A480" s="21" t="s">
        <v>199</v>
      </c>
      <c r="B480" t="s">
        <v>459</v>
      </c>
      <c r="C480" s="1">
        <v>14</v>
      </c>
      <c r="D480" s="1">
        <v>1.2E-2</v>
      </c>
      <c r="E480" s="1">
        <v>0.1</v>
      </c>
      <c r="F480" s="1">
        <v>0.45</v>
      </c>
      <c r="G480" s="1" t="s">
        <v>459</v>
      </c>
      <c r="H480" s="1" t="str">
        <f>""</f>
        <v/>
      </c>
      <c r="I480" s="1"/>
    </row>
    <row r="481" spans="1:9">
      <c r="A481" s="21" t="s">
        <v>299</v>
      </c>
      <c r="B481" t="s">
        <v>198</v>
      </c>
      <c r="C481" s="1">
        <v>6</v>
      </c>
      <c r="D481" s="1">
        <v>0.1</v>
      </c>
      <c r="E481" s="1">
        <v>4.4999999999999997E-3</v>
      </c>
      <c r="F481" s="1">
        <v>1</v>
      </c>
      <c r="G481" s="1" t="s">
        <v>85</v>
      </c>
      <c r="H481" s="1" t="s">
        <v>803</v>
      </c>
      <c r="I481" s="1"/>
    </row>
    <row r="482" spans="1:9">
      <c r="A482" s="21" t="s">
        <v>635</v>
      </c>
      <c r="B482" t="s">
        <v>173</v>
      </c>
      <c r="C482" s="1">
        <v>7</v>
      </c>
      <c r="D482" s="1">
        <v>0.25</v>
      </c>
      <c r="E482" s="1">
        <v>1.2E-2</v>
      </c>
      <c r="F482" s="1">
        <v>1</v>
      </c>
      <c r="G482" s="1" t="s">
        <v>85</v>
      </c>
      <c r="H482" s="1" t="s">
        <v>256</v>
      </c>
      <c r="I482" s="1"/>
    </row>
    <row r="483" spans="1:9">
      <c r="A483" s="21" t="s">
        <v>610</v>
      </c>
      <c r="B483" t="s">
        <v>744</v>
      </c>
      <c r="C483" s="1">
        <v>6</v>
      </c>
      <c r="D483" s="1">
        <v>0.25</v>
      </c>
      <c r="E483" s="1">
        <v>0.01</v>
      </c>
      <c r="F483" s="1">
        <v>1</v>
      </c>
      <c r="G483" s="1" t="s">
        <v>86</v>
      </c>
      <c r="H483" s="1" t="s">
        <v>803</v>
      </c>
      <c r="I483" s="1"/>
    </row>
    <row r="484" spans="1:9">
      <c r="A484" s="21" t="s">
        <v>636</v>
      </c>
      <c r="B484" t="s">
        <v>0</v>
      </c>
      <c r="C484" s="1">
        <v>7</v>
      </c>
      <c r="D484" s="1">
        <v>0.5</v>
      </c>
      <c r="E484" s="1">
        <v>2.5000000000000001E-2</v>
      </c>
      <c r="F484" s="1">
        <v>1</v>
      </c>
      <c r="G484" s="1" t="s">
        <v>86</v>
      </c>
      <c r="H484" s="1" t="s">
        <v>257</v>
      </c>
      <c r="I484" s="1"/>
    </row>
    <row r="485" spans="1:9">
      <c r="A485" s="21" t="s">
        <v>834</v>
      </c>
      <c r="B485" t="s">
        <v>835</v>
      </c>
      <c r="C485" s="1">
        <v>6</v>
      </c>
      <c r="D485" s="1">
        <v>0.5</v>
      </c>
      <c r="E485" s="1">
        <v>2.5000000000000001E-2</v>
      </c>
      <c r="F485" s="1">
        <v>1</v>
      </c>
      <c r="G485" s="1" t="s">
        <v>804</v>
      </c>
      <c r="H485" s="1" t="s">
        <v>803</v>
      </c>
      <c r="I485" s="1"/>
    </row>
    <row r="486" spans="1:9">
      <c r="A486" s="21" t="s">
        <v>460</v>
      </c>
      <c r="B486" t="s">
        <v>537</v>
      </c>
      <c r="C486" s="1">
        <v>6</v>
      </c>
      <c r="D486" s="1">
        <v>1</v>
      </c>
      <c r="E486" s="1">
        <v>4.4999999999999998E-2</v>
      </c>
      <c r="F486" s="1">
        <v>1</v>
      </c>
      <c r="G486" s="1" t="s">
        <v>543</v>
      </c>
      <c r="H486" s="1" t="s">
        <v>803</v>
      </c>
      <c r="I486" s="1"/>
    </row>
    <row r="487" spans="1:9">
      <c r="A487" s="21" t="s">
        <v>594</v>
      </c>
      <c r="B487" t="s">
        <v>537</v>
      </c>
      <c r="C487" s="1">
        <v>12</v>
      </c>
      <c r="D487" s="1">
        <v>1</v>
      </c>
      <c r="E487" s="1">
        <v>0.1</v>
      </c>
      <c r="F487" s="1">
        <v>2</v>
      </c>
      <c r="G487" s="1" t="s">
        <v>543</v>
      </c>
      <c r="H487" s="1" t="s">
        <v>803</v>
      </c>
      <c r="I487" s="1"/>
    </row>
    <row r="488" spans="1:9">
      <c r="A488" s="21" t="s">
        <v>693</v>
      </c>
      <c r="B488" t="s">
        <v>786</v>
      </c>
      <c r="C488" s="1">
        <v>12</v>
      </c>
      <c r="D488" s="1">
        <v>2</v>
      </c>
      <c r="E488" s="1">
        <v>0.22500000000000001</v>
      </c>
      <c r="F488" s="1">
        <v>3</v>
      </c>
      <c r="G488" s="1" t="s">
        <v>71</v>
      </c>
      <c r="H488" s="1" t="s">
        <v>458</v>
      </c>
      <c r="I488" s="1"/>
    </row>
    <row r="489" spans="1:9">
      <c r="A489" s="21" t="s">
        <v>176</v>
      </c>
      <c r="B489" t="s">
        <v>459</v>
      </c>
      <c r="C489" s="1">
        <v>10</v>
      </c>
      <c r="D489" s="1">
        <v>4</v>
      </c>
      <c r="E489" s="1">
        <v>0.5</v>
      </c>
      <c r="F489" s="1">
        <v>6</v>
      </c>
      <c r="G489" s="1" t="s">
        <v>71</v>
      </c>
      <c r="H489" s="1" t="str">
        <f>""</f>
        <v/>
      </c>
      <c r="I489" s="1"/>
    </row>
    <row r="490" spans="1:9">
      <c r="A490" s="21" t="s">
        <v>56</v>
      </c>
      <c r="B490" t="s">
        <v>57</v>
      </c>
      <c r="C490" s="1">
        <v>12</v>
      </c>
      <c r="D490" s="1">
        <v>4</v>
      </c>
      <c r="E490" s="1">
        <v>1.5</v>
      </c>
      <c r="F490" s="1">
        <v>10</v>
      </c>
      <c r="G490" s="1" t="s">
        <v>71</v>
      </c>
      <c r="H490" s="1" t="str">
        <f>""</f>
        <v/>
      </c>
      <c r="I490" s="1"/>
    </row>
    <row r="491" spans="1:9">
      <c r="A491" s="21" t="s">
        <v>174</v>
      </c>
      <c r="B491" t="s">
        <v>637</v>
      </c>
      <c r="C491" s="1">
        <v>13</v>
      </c>
      <c r="D491" s="1">
        <v>4</v>
      </c>
      <c r="E491" s="1">
        <v>2</v>
      </c>
      <c r="F491" s="1">
        <v>3</v>
      </c>
      <c r="G491" s="1" t="s">
        <v>84</v>
      </c>
      <c r="H491" s="1" t="s">
        <v>469</v>
      </c>
      <c r="I491" s="1"/>
    </row>
    <row r="492" spans="1:9">
      <c r="A492" s="21" t="s">
        <v>128</v>
      </c>
      <c r="B492" t="s">
        <v>637</v>
      </c>
      <c r="C492" s="1">
        <v>15</v>
      </c>
      <c r="D492" s="1">
        <v>4</v>
      </c>
      <c r="E492" s="1">
        <v>8</v>
      </c>
      <c r="F492" s="1">
        <v>10</v>
      </c>
      <c r="G492" s="1" t="s">
        <v>84</v>
      </c>
      <c r="H492" s="1" t="s">
        <v>469</v>
      </c>
      <c r="I492" s="1"/>
    </row>
    <row r="493" spans="1:9">
      <c r="A493" s="21" t="s">
        <v>77</v>
      </c>
      <c r="B493" t="s">
        <v>804</v>
      </c>
      <c r="C493" s="1">
        <v>7</v>
      </c>
      <c r="D493" s="1">
        <v>0.5</v>
      </c>
      <c r="E493" s="1">
        <v>1.4999999999999999E-2</v>
      </c>
      <c r="F493" s="1">
        <v>10</v>
      </c>
      <c r="G493" s="1" t="s">
        <v>804</v>
      </c>
      <c r="H493" s="1" t="s">
        <v>461</v>
      </c>
      <c r="I493" s="1"/>
    </row>
    <row r="494" spans="1:9">
      <c r="A494" s="21" t="s">
        <v>531</v>
      </c>
      <c r="B494" t="s">
        <v>543</v>
      </c>
      <c r="C494" s="1">
        <v>9</v>
      </c>
      <c r="D494" s="1">
        <v>1</v>
      </c>
      <c r="E494" s="1">
        <v>3.5999999999999997E-2</v>
      </c>
      <c r="F494" s="1">
        <v>150</v>
      </c>
      <c r="G494" s="1" t="s">
        <v>543</v>
      </c>
      <c r="H494" s="1" t="s">
        <v>684</v>
      </c>
      <c r="I494" s="1"/>
    </row>
    <row r="495" spans="1:9">
      <c r="A495" s="21" t="s">
        <v>357</v>
      </c>
      <c r="B495" t="s">
        <v>21</v>
      </c>
      <c r="C495" s="1">
        <v>4</v>
      </c>
      <c r="D495" s="1">
        <v>0.1</v>
      </c>
      <c r="E495" s="1">
        <v>1.5E-3</v>
      </c>
      <c r="F495" s="1">
        <v>0</v>
      </c>
      <c r="G495" s="1" t="s">
        <v>543</v>
      </c>
      <c r="H495" s="1" t="s">
        <v>293</v>
      </c>
      <c r="I495" s="1"/>
    </row>
    <row r="496" spans="1:9">
      <c r="A496" s="21" t="s">
        <v>50</v>
      </c>
      <c r="B496" t="s">
        <v>542</v>
      </c>
      <c r="C496" s="1">
        <v>4</v>
      </c>
      <c r="D496" s="1">
        <v>1</v>
      </c>
      <c r="E496" s="1">
        <v>8.0000000000000002E-3</v>
      </c>
      <c r="F496" s="1">
        <v>0</v>
      </c>
      <c r="G496" s="1" t="s">
        <v>634</v>
      </c>
      <c r="H496" s="1" t="s">
        <v>294</v>
      </c>
      <c r="I496" s="1"/>
    </row>
    <row r="497" spans="1:9">
      <c r="A497" s="21" t="s">
        <v>468</v>
      </c>
      <c r="B497" t="s">
        <v>76</v>
      </c>
      <c r="C497" s="1">
        <v>4</v>
      </c>
      <c r="D497" s="1">
        <v>10</v>
      </c>
      <c r="E497" s="1">
        <v>0.1</v>
      </c>
      <c r="F497" s="1">
        <v>0</v>
      </c>
      <c r="G497" s="1" t="s">
        <v>87</v>
      </c>
      <c r="H497" s="1" t="s">
        <v>742</v>
      </c>
      <c r="I497" s="1"/>
    </row>
    <row r="498" spans="1:9">
      <c r="A498" s="21" t="s">
        <v>55</v>
      </c>
      <c r="B498" t="s">
        <v>715</v>
      </c>
      <c r="C498" s="1">
        <v>15</v>
      </c>
      <c r="D498" s="1">
        <v>60</v>
      </c>
      <c r="E498" s="1">
        <v>20</v>
      </c>
      <c r="F498" s="1">
        <v>150</v>
      </c>
      <c r="G498" s="1" t="s">
        <v>255</v>
      </c>
      <c r="H498" s="1" t="s">
        <v>530</v>
      </c>
      <c r="I498" s="1"/>
    </row>
    <row r="499" spans="1:9">
      <c r="A499" s="21"/>
      <c r="C499" s="1"/>
      <c r="D499" s="1"/>
      <c r="E499" s="1"/>
      <c r="F499" s="1"/>
      <c r="G499" s="1"/>
      <c r="H499" s="1"/>
      <c r="I499" s="1"/>
    </row>
    <row r="500" spans="1:9">
      <c r="A500" s="112" t="s">
        <v>54</v>
      </c>
      <c r="B500" s="1" t="s">
        <v>696</v>
      </c>
      <c r="C500" s="1" t="s">
        <v>400</v>
      </c>
      <c r="D500" s="1" t="s">
        <v>620</v>
      </c>
      <c r="E500" s="1" t="s">
        <v>244</v>
      </c>
      <c r="F500" s="1"/>
      <c r="G500" s="1"/>
      <c r="H500" s="1"/>
      <c r="I500" s="1"/>
    </row>
    <row r="501" spans="1:9">
      <c r="A501" s="21" t="s">
        <v>779</v>
      </c>
      <c r="B501">
        <v>13</v>
      </c>
      <c r="C501" s="1">
        <v>10</v>
      </c>
      <c r="D501" s="1">
        <v>20</v>
      </c>
      <c r="E501" s="1">
        <v>30</v>
      </c>
      <c r="F501" s="1"/>
      <c r="G501" s="1"/>
      <c r="H501" s="1"/>
      <c r="I501" s="1"/>
    </row>
    <row r="502" spans="1:9">
      <c r="A502" s="21" t="s">
        <v>767</v>
      </c>
      <c r="B502">
        <v>12</v>
      </c>
      <c r="C502" s="1">
        <v>10</v>
      </c>
      <c r="D502" s="1">
        <v>10</v>
      </c>
      <c r="E502" s="1">
        <v>20</v>
      </c>
      <c r="F502" s="1"/>
      <c r="G502" s="1"/>
      <c r="H502" s="1"/>
      <c r="I502" s="1"/>
    </row>
    <row r="503" spans="1:9">
      <c r="A503" s="21" t="s">
        <v>780</v>
      </c>
      <c r="B503">
        <v>15</v>
      </c>
      <c r="C503" s="1">
        <v>50</v>
      </c>
      <c r="D503" s="1">
        <v>100</v>
      </c>
      <c r="E503" s="1">
        <v>30</v>
      </c>
      <c r="F503" s="1"/>
      <c r="G503" s="1"/>
      <c r="H503" s="1"/>
      <c r="I503" s="1"/>
    </row>
    <row r="504" spans="1:9">
      <c r="A504" s="21" t="s">
        <v>707</v>
      </c>
      <c r="B504">
        <v>10</v>
      </c>
      <c r="C504" s="1">
        <v>5</v>
      </c>
      <c r="D504" s="1">
        <v>5</v>
      </c>
      <c r="E504" s="1">
        <v>10</v>
      </c>
      <c r="F504" s="1"/>
      <c r="G504" s="1"/>
      <c r="H504" s="1"/>
      <c r="I504" s="1"/>
    </row>
    <row r="505" spans="1:9">
      <c r="A505" s="21" t="s">
        <v>574</v>
      </c>
      <c r="B505">
        <v>16</v>
      </c>
      <c r="C505" s="1">
        <v>20</v>
      </c>
      <c r="D505" s="1">
        <v>25</v>
      </c>
      <c r="E505" s="1">
        <v>50</v>
      </c>
      <c r="F505" s="1"/>
      <c r="G505" s="1"/>
      <c r="H505" s="1"/>
      <c r="I505" s="1"/>
    </row>
    <row r="507" spans="1:9">
      <c r="A507" s="76" t="s">
        <v>395</v>
      </c>
      <c r="B507" s="112" t="s">
        <v>396</v>
      </c>
      <c r="C507" s="1" t="s">
        <v>400</v>
      </c>
      <c r="D507" s="1" t="s">
        <v>572</v>
      </c>
      <c r="E507" s="1" t="s">
        <v>630</v>
      </c>
    </row>
    <row r="508" spans="1:9">
      <c r="A508">
        <v>-100</v>
      </c>
      <c r="B508" t="s">
        <v>695</v>
      </c>
      <c r="C508" s="26">
        <v>-1</v>
      </c>
      <c r="D508" s="26">
        <v>-1</v>
      </c>
      <c r="E508" s="1">
        <v>0</v>
      </c>
    </row>
    <row r="509" spans="1:9">
      <c r="A509">
        <v>-2</v>
      </c>
      <c r="B509" t="s">
        <v>113</v>
      </c>
      <c r="C509" s="26">
        <v>1</v>
      </c>
      <c r="D509" s="26">
        <v>10</v>
      </c>
      <c r="E509" s="1">
        <v>-2</v>
      </c>
    </row>
    <row r="510" spans="1:9">
      <c r="A510">
        <v>-1</v>
      </c>
      <c r="B510" t="s">
        <v>705</v>
      </c>
      <c r="C510">
        <v>0</v>
      </c>
      <c r="D510" s="26">
        <v>5</v>
      </c>
      <c r="E510" s="1">
        <v>-1</v>
      </c>
    </row>
    <row r="511" spans="1:9">
      <c r="A511">
        <v>-0.5</v>
      </c>
      <c r="B511" t="s">
        <v>439</v>
      </c>
      <c r="C511">
        <v>0</v>
      </c>
      <c r="D511" s="26">
        <v>-0.25</v>
      </c>
      <c r="E511" s="1">
        <v>-1</v>
      </c>
    </row>
    <row r="512" spans="1:9">
      <c r="A512">
        <v>0</v>
      </c>
      <c r="B512" t="s">
        <v>795</v>
      </c>
      <c r="C512">
        <v>0</v>
      </c>
      <c r="D512" s="26">
        <v>0</v>
      </c>
      <c r="E512" s="1">
        <v>0</v>
      </c>
    </row>
    <row r="513" spans="1:8">
      <c r="A513">
        <v>1</v>
      </c>
      <c r="B513" t="s">
        <v>431</v>
      </c>
      <c r="C513">
        <v>0</v>
      </c>
      <c r="D513" s="26">
        <v>0.1</v>
      </c>
      <c r="E513" s="1">
        <v>1</v>
      </c>
    </row>
    <row r="514" spans="1:8">
      <c r="A514">
        <v>2</v>
      </c>
      <c r="B514" t="s">
        <v>376</v>
      </c>
      <c r="C514">
        <v>0</v>
      </c>
      <c r="D514" s="26">
        <v>0.25</v>
      </c>
      <c r="E514" s="1">
        <v>2</v>
      </c>
    </row>
    <row r="515" spans="1:8">
      <c r="A515">
        <v>3</v>
      </c>
      <c r="B515" t="s">
        <v>377</v>
      </c>
      <c r="C515">
        <v>0</v>
      </c>
      <c r="D515" s="26">
        <v>0.5</v>
      </c>
      <c r="E515" s="1">
        <v>3</v>
      </c>
    </row>
    <row r="518" spans="1:8">
      <c r="A518" s="68" t="s">
        <v>222</v>
      </c>
      <c r="C518" s="1" t="s">
        <v>400</v>
      </c>
      <c r="D518" s="1" t="s">
        <v>673</v>
      </c>
      <c r="E518" s="1" t="s">
        <v>765</v>
      </c>
      <c r="F518" s="1" t="s">
        <v>134</v>
      </c>
      <c r="G518" s="1" t="s">
        <v>577</v>
      </c>
      <c r="H518" s="1" t="s">
        <v>471</v>
      </c>
    </row>
    <row r="519" spans="1:8">
      <c r="A519">
        <v>0</v>
      </c>
      <c r="B519" t="s">
        <v>551</v>
      </c>
      <c r="C519">
        <v>0</v>
      </c>
      <c r="D519">
        <v>0</v>
      </c>
      <c r="E519">
        <v>0</v>
      </c>
      <c r="F519">
        <v>0</v>
      </c>
      <c r="G519">
        <v>0</v>
      </c>
      <c r="H519">
        <v>0</v>
      </c>
    </row>
    <row r="520" spans="1:8">
      <c r="A520">
        <v>10</v>
      </c>
      <c r="B520" t="s">
        <v>552</v>
      </c>
      <c r="C520">
        <v>20</v>
      </c>
      <c r="D520">
        <v>5</v>
      </c>
      <c r="E520">
        <v>10</v>
      </c>
      <c r="F520">
        <v>1</v>
      </c>
      <c r="G520">
        <v>3.5</v>
      </c>
      <c r="H520">
        <v>1.5</v>
      </c>
    </row>
    <row r="521" spans="1:8">
      <c r="A521">
        <v>12</v>
      </c>
      <c r="B521" t="s">
        <v>135</v>
      </c>
      <c r="C521">
        <v>20</v>
      </c>
      <c r="D521">
        <v>10</v>
      </c>
      <c r="E521">
        <v>20</v>
      </c>
      <c r="F521">
        <v>1</v>
      </c>
      <c r="G521">
        <v>7</v>
      </c>
      <c r="H521">
        <v>3.25</v>
      </c>
    </row>
    <row r="522" spans="1:8">
      <c r="A522">
        <v>14</v>
      </c>
      <c r="B522" t="s">
        <v>302</v>
      </c>
      <c r="C522">
        <v>20</v>
      </c>
      <c r="D522">
        <v>20</v>
      </c>
      <c r="E522">
        <v>30</v>
      </c>
      <c r="F522">
        <v>1</v>
      </c>
      <c r="G522">
        <v>10.5</v>
      </c>
      <c r="H522">
        <v>5</v>
      </c>
    </row>
    <row r="525" spans="1:8">
      <c r="A525" s="68" t="s">
        <v>364</v>
      </c>
      <c r="C525" s="1" t="s">
        <v>838</v>
      </c>
      <c r="D525" s="1" t="s">
        <v>1</v>
      </c>
      <c r="E525" s="1" t="s">
        <v>765</v>
      </c>
      <c r="F525" s="1" t="s">
        <v>477</v>
      </c>
      <c r="G525" s="1" t="s">
        <v>874</v>
      </c>
      <c r="H525" s="1" t="s">
        <v>274</v>
      </c>
    </row>
    <row r="526" spans="1:8">
      <c r="A526" t="s">
        <v>676</v>
      </c>
      <c r="C526" s="46">
        <v>1.1000000000000001</v>
      </c>
      <c r="D526">
        <v>0.25</v>
      </c>
      <c r="G526">
        <v>1</v>
      </c>
      <c r="H526">
        <v>1</v>
      </c>
    </row>
    <row r="527" spans="1:8">
      <c r="A527" t="s">
        <v>605</v>
      </c>
      <c r="C527" s="46">
        <v>2</v>
      </c>
      <c r="D527">
        <v>0.2</v>
      </c>
      <c r="G527">
        <v>2</v>
      </c>
      <c r="H527">
        <v>1</v>
      </c>
    </row>
    <row r="528" spans="1:8">
      <c r="A528" t="s">
        <v>515</v>
      </c>
      <c r="C528" s="46">
        <v>10</v>
      </c>
      <c r="D528">
        <v>0.5</v>
      </c>
      <c r="E528">
        <v>1</v>
      </c>
      <c r="G528">
        <v>1</v>
      </c>
      <c r="H528">
        <v>0</v>
      </c>
    </row>
    <row r="529" spans="1:8">
      <c r="A529" t="s">
        <v>117</v>
      </c>
      <c r="C529" s="46">
        <v>10</v>
      </c>
      <c r="D529">
        <v>0.5</v>
      </c>
      <c r="E529">
        <v>1</v>
      </c>
      <c r="G529">
        <v>1</v>
      </c>
      <c r="H529">
        <v>0</v>
      </c>
    </row>
    <row r="530" spans="1:8">
      <c r="A530" t="s">
        <v>771</v>
      </c>
      <c r="C530" s="46">
        <v>3</v>
      </c>
      <c r="D530">
        <v>0.25</v>
      </c>
      <c r="F530">
        <f>1/100</f>
        <v>0.01</v>
      </c>
      <c r="G530">
        <v>2</v>
      </c>
      <c r="H530">
        <v>0</v>
      </c>
    </row>
    <row r="531" spans="1:8">
      <c r="A531" t="s">
        <v>14</v>
      </c>
      <c r="C531" s="46">
        <v>2</v>
      </c>
      <c r="D531">
        <v>0.5</v>
      </c>
      <c r="E531">
        <v>1</v>
      </c>
      <c r="F531">
        <f>1/10</f>
        <v>0.1</v>
      </c>
      <c r="G531">
        <v>2</v>
      </c>
      <c r="H531">
        <v>0</v>
      </c>
    </row>
    <row r="532" spans="1:8">
      <c r="A532" t="s">
        <v>770</v>
      </c>
      <c r="C532" s="46">
        <v>2</v>
      </c>
      <c r="D532">
        <v>0.75</v>
      </c>
      <c r="E532">
        <v>1</v>
      </c>
      <c r="F532">
        <f>1/10</f>
        <v>0.1</v>
      </c>
      <c r="G532">
        <v>2</v>
      </c>
      <c r="H532">
        <v>0</v>
      </c>
    </row>
    <row r="535" spans="1:8">
      <c r="A535" s="68" t="s">
        <v>318</v>
      </c>
    </row>
    <row r="536" spans="1:8">
      <c r="A536">
        <v>0</v>
      </c>
      <c r="B536" t="s">
        <v>132</v>
      </c>
      <c r="C536">
        <v>1</v>
      </c>
      <c r="D536">
        <v>0.5</v>
      </c>
    </row>
    <row r="537" spans="1:8">
      <c r="A537">
        <v>31</v>
      </c>
      <c r="B537" t="s">
        <v>661</v>
      </c>
      <c r="C537">
        <v>5</v>
      </c>
      <c r="D537">
        <v>1</v>
      </c>
    </row>
    <row r="538" spans="1:8">
      <c r="A538">
        <v>100</v>
      </c>
      <c r="B538" t="s">
        <v>561</v>
      </c>
      <c r="C538">
        <v>10</v>
      </c>
      <c r="D538">
        <v>2</v>
      </c>
    </row>
    <row r="539" spans="1:8">
      <c r="A539">
        <v>301</v>
      </c>
      <c r="B539" t="s">
        <v>546</v>
      </c>
      <c r="C539">
        <v>20</v>
      </c>
      <c r="D539">
        <v>4</v>
      </c>
    </row>
    <row r="540" spans="1:8">
      <c r="A540">
        <v>2000</v>
      </c>
      <c r="B540" t="s">
        <v>527</v>
      </c>
      <c r="C540">
        <v>50</v>
      </c>
      <c r="D540">
        <v>8</v>
      </c>
    </row>
    <row r="543" spans="1:8">
      <c r="A543" s="68" t="s">
        <v>168</v>
      </c>
      <c r="D543" s="1" t="s">
        <v>681</v>
      </c>
    </row>
    <row r="544" spans="1:8">
      <c r="A544" t="str">
        <f>""</f>
        <v/>
      </c>
      <c r="B544">
        <v>0</v>
      </c>
      <c r="C544" s="135">
        <v>0</v>
      </c>
      <c r="D544">
        <v>0</v>
      </c>
    </row>
    <row r="545" spans="1:4">
      <c r="A545" t="s">
        <v>781</v>
      </c>
      <c r="B545">
        <v>4</v>
      </c>
      <c r="C545" s="135">
        <v>0.25</v>
      </c>
      <c r="D545">
        <v>0</v>
      </c>
    </row>
    <row r="546" spans="1:4">
      <c r="A546" t="s">
        <v>623</v>
      </c>
      <c r="B546">
        <v>15</v>
      </c>
      <c r="C546" s="135">
        <v>11.58</v>
      </c>
      <c r="D546">
        <v>0</v>
      </c>
    </row>
    <row r="547" spans="1:4">
      <c r="A547" t="s">
        <v>276</v>
      </c>
      <c r="B547">
        <v>20</v>
      </c>
      <c r="C547" s="135">
        <v>2.367</v>
      </c>
      <c r="D547">
        <v>1</v>
      </c>
    </row>
    <row r="548" spans="1:4">
      <c r="A548" t="s">
        <v>374</v>
      </c>
      <c r="B548">
        <v>20</v>
      </c>
      <c r="C548" s="135">
        <v>7.2720000000000002</v>
      </c>
      <c r="D548">
        <v>1</v>
      </c>
    </row>
    <row r="549" spans="1:4">
      <c r="A549" t="s">
        <v>353</v>
      </c>
      <c r="B549">
        <v>30</v>
      </c>
      <c r="C549" s="135">
        <v>7.2720000000000002</v>
      </c>
      <c r="D549">
        <v>1</v>
      </c>
    </row>
    <row r="550" spans="1:4">
      <c r="A550" t="s">
        <v>354</v>
      </c>
      <c r="B550">
        <v>30</v>
      </c>
      <c r="C550" s="135">
        <v>4.8419999999999996</v>
      </c>
      <c r="D550">
        <v>1</v>
      </c>
    </row>
    <row r="551" spans="1:4">
      <c r="A551" t="s">
        <v>728</v>
      </c>
      <c r="B551">
        <v>40</v>
      </c>
      <c r="C551" s="135">
        <v>8.7119999999999997</v>
      </c>
      <c r="D551">
        <v>1</v>
      </c>
    </row>
    <row r="552" spans="1:4">
      <c r="A552" t="s">
        <v>736</v>
      </c>
      <c r="B552">
        <v>40</v>
      </c>
      <c r="C552" s="135">
        <v>5.7869999999999999</v>
      </c>
      <c r="D552">
        <v>1</v>
      </c>
    </row>
    <row r="553" spans="1:4">
      <c r="A553" t="s">
        <v>560</v>
      </c>
      <c r="B553">
        <v>50</v>
      </c>
      <c r="C553" s="135">
        <v>10.287000000000001</v>
      </c>
      <c r="D553">
        <v>1</v>
      </c>
    </row>
    <row r="554" spans="1:4">
      <c r="A554" t="s">
        <v>785</v>
      </c>
      <c r="B554">
        <v>30</v>
      </c>
      <c r="C554" s="135">
        <v>2</v>
      </c>
      <c r="D554">
        <v>0</v>
      </c>
    </row>
    <row r="555" spans="1:4">
      <c r="A555" t="s">
        <v>221</v>
      </c>
      <c r="B555">
        <v>95</v>
      </c>
      <c r="C555" s="135">
        <v>15.147</v>
      </c>
      <c r="D555">
        <v>1</v>
      </c>
    </row>
    <row r="556" spans="1:4">
      <c r="A556" t="s">
        <v>242</v>
      </c>
      <c r="B556">
        <v>10</v>
      </c>
      <c r="C556" s="135">
        <v>9.09</v>
      </c>
      <c r="D556">
        <v>0</v>
      </c>
    </row>
    <row r="557" spans="1:4">
      <c r="A557" t="s">
        <v>870</v>
      </c>
      <c r="B557">
        <v>35</v>
      </c>
      <c r="C557" s="135">
        <v>47.9</v>
      </c>
      <c r="D557">
        <v>0</v>
      </c>
    </row>
    <row r="558" spans="1:4">
      <c r="A558" t="s">
        <v>836</v>
      </c>
      <c r="B558">
        <v>50</v>
      </c>
      <c r="C558" s="135">
        <v>66.33</v>
      </c>
      <c r="D558">
        <v>0</v>
      </c>
    </row>
    <row r="559" spans="1:4">
      <c r="A559" t="s">
        <v>127</v>
      </c>
      <c r="B559">
        <v>50</v>
      </c>
      <c r="C559" s="135">
        <v>36.621000000000002</v>
      </c>
      <c r="D559">
        <v>1</v>
      </c>
    </row>
    <row r="560" spans="1:4">
      <c r="A560" t="s">
        <v>129</v>
      </c>
      <c r="B560">
        <v>50</v>
      </c>
      <c r="C560" s="135">
        <v>35.7759</v>
      </c>
      <c r="D560">
        <v>1</v>
      </c>
    </row>
    <row r="561" spans="1:6">
      <c r="A561" t="s">
        <v>629</v>
      </c>
      <c r="B561">
        <v>3</v>
      </c>
      <c r="C561" s="135">
        <v>6.4999999999999997E-3</v>
      </c>
      <c r="D561">
        <v>0</v>
      </c>
    </row>
    <row r="562" spans="1:6">
      <c r="A562" t="s">
        <v>437</v>
      </c>
      <c r="B562">
        <v>10</v>
      </c>
      <c r="C562" s="135">
        <v>0.155</v>
      </c>
      <c r="D562">
        <v>0</v>
      </c>
    </row>
    <row r="563" spans="1:6">
      <c r="A563" t="s">
        <v>438</v>
      </c>
      <c r="B563">
        <v>10</v>
      </c>
      <c r="C563" s="135">
        <v>0.19800000000000001</v>
      </c>
      <c r="D563">
        <v>0</v>
      </c>
    </row>
    <row r="564" spans="1:6">
      <c r="A564" t="s">
        <v>295</v>
      </c>
      <c r="B564">
        <v>200</v>
      </c>
      <c r="C564" s="135">
        <v>0</v>
      </c>
      <c r="D564">
        <v>0.5</v>
      </c>
    </row>
    <row r="565" spans="1:6">
      <c r="A565" t="s">
        <v>296</v>
      </c>
      <c r="B565">
        <v>1000</v>
      </c>
      <c r="C565" s="135">
        <v>0</v>
      </c>
      <c r="D565">
        <v>0.5</v>
      </c>
    </row>
    <row r="568" spans="1:6">
      <c r="A568" s="68" t="s">
        <v>547</v>
      </c>
    </row>
    <row r="569" spans="1:6">
      <c r="A569" s="1" t="s">
        <v>518</v>
      </c>
      <c r="B569" s="1" t="s">
        <v>382</v>
      </c>
      <c r="C569" s="1" t="s">
        <v>678</v>
      </c>
      <c r="D569" s="1" t="s">
        <v>775</v>
      </c>
      <c r="E569" s="1" t="s">
        <v>451</v>
      </c>
      <c r="F569" s="1" t="s">
        <v>825</v>
      </c>
    </row>
    <row r="570" spans="1:6">
      <c r="A570" s="64">
        <v>0</v>
      </c>
      <c r="B570" s="64">
        <v>0</v>
      </c>
      <c r="C570" s="64">
        <v>0</v>
      </c>
      <c r="D570" s="64">
        <v>0</v>
      </c>
      <c r="E570" s="64">
        <v>0</v>
      </c>
      <c r="F570" s="64">
        <v>0</v>
      </c>
    </row>
    <row r="571" spans="1:6">
      <c r="A571" s="64">
        <v>1</v>
      </c>
      <c r="B571" s="64">
        <v>8500</v>
      </c>
      <c r="C571" s="64">
        <v>6200</v>
      </c>
      <c r="D571" s="64">
        <v>2200</v>
      </c>
      <c r="E571" s="64">
        <v>700</v>
      </c>
      <c r="F571" s="64">
        <v>1000</v>
      </c>
    </row>
    <row r="572" spans="1:6">
      <c r="A572" s="64">
        <v>2</v>
      </c>
      <c r="B572" s="64">
        <v>12000</v>
      </c>
      <c r="C572" s="64">
        <v>9000</v>
      </c>
      <c r="D572" s="64">
        <v>2900</v>
      </c>
      <c r="E572" s="64">
        <v>1300</v>
      </c>
      <c r="F572" s="64">
        <v>1600</v>
      </c>
    </row>
    <row r="573" spans="1:6">
      <c r="A573" s="64">
        <v>3</v>
      </c>
      <c r="B573" s="64">
        <v>20000</v>
      </c>
      <c r="C573" s="64">
        <v>15000</v>
      </c>
      <c r="D573" s="64">
        <v>4400</v>
      </c>
      <c r="E573" s="64">
        <v>2200</v>
      </c>
      <c r="F573" s="64">
        <v>3000</v>
      </c>
    </row>
    <row r="574" spans="1:6">
      <c r="A574" s="64">
        <v>4</v>
      </c>
      <c r="B574" s="64">
        <v>41000</v>
      </c>
      <c r="C574" s="64">
        <v>31000</v>
      </c>
      <c r="D574" s="64">
        <v>8600</v>
      </c>
      <c r="E574" s="64">
        <v>4300</v>
      </c>
      <c r="F574" s="64">
        <v>7000</v>
      </c>
    </row>
    <row r="575" spans="1:6">
      <c r="A575" s="64">
        <v>5</v>
      </c>
      <c r="B575" s="64">
        <v>45000</v>
      </c>
      <c r="C575" s="64">
        <v>34000</v>
      </c>
      <c r="D575" s="64">
        <v>9400</v>
      </c>
      <c r="E575" s="64">
        <v>13000</v>
      </c>
      <c r="F575" s="64">
        <v>7700</v>
      </c>
    </row>
    <row r="576" spans="1:6">
      <c r="A576" s="64">
        <v>6</v>
      </c>
      <c r="B576" s="64">
        <v>470000</v>
      </c>
      <c r="C576" s="64">
        <v>350000</v>
      </c>
      <c r="D576" s="64">
        <v>93000</v>
      </c>
      <c r="E576" s="64">
        <v>96000</v>
      </c>
      <c r="F576" s="64">
        <v>86000</v>
      </c>
    </row>
  </sheetData>
  <sheetCalcPr fullCalcOnLoad="1"/>
  <phoneticPr fontId="10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Description</vt:lpstr>
      <vt:lpstr>Ship</vt:lpstr>
      <vt:lpstr>Tables</vt:lpstr>
    </vt:vector>
  </TitlesOfParts>
  <Company>Hans Björk AB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Björk</dc:creator>
  <cp:lastModifiedBy>Hans Björk</cp:lastModifiedBy>
  <cp:lastPrinted>2020-03-11T14:49:20Z</cp:lastPrinted>
  <dcterms:created xsi:type="dcterms:W3CDTF">2015-12-10T18:51:15Z</dcterms:created>
  <dcterms:modified xsi:type="dcterms:W3CDTF">2020-04-17T18:27:46Z</dcterms:modified>
</cp:coreProperties>
</file>